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5.09.2025 № 17-86\"/>
    </mc:Choice>
  </mc:AlternateContent>
  <xr:revisionPtr revIDLastSave="0" documentId="13_ncr:81_{169E8D10-4900-4FFD-AC0E-1B17E82328A9}" xr6:coauthVersionLast="47" xr6:coauthVersionMax="47" xr10:uidLastSave="{00000000-0000-0000-0000-000000000000}"/>
  <bookViews>
    <workbookView xWindow="1110" yWindow="105" windowWidth="14355" windowHeight="15375" xr2:uid="{00000000-000D-0000-FFFF-FFFF00000000}"/>
  </bookViews>
  <sheets>
    <sheet name="рпр" sheetId="1" r:id="rId1"/>
  </sheets>
  <definedNames>
    <definedName name="_xlnm._FilterDatabase" localSheetId="0" hidden="1">рпр!$B$1:$B$969</definedName>
    <definedName name="Z_0D09C470_2E87_4C0F_8678_A948774FDA23_.wvu.FilterData" localSheetId="0" hidden="1">рпр!$D$3:$D$17</definedName>
    <definedName name="Z_199C747B_6047_4DBE_B7AF_0B4ED9AF8062_.wvu.FilterData" localSheetId="0" hidden="1">рпр!$C$3:$C$956</definedName>
    <definedName name="Z_1CA6CCC9_64EF_4CA9_9C9C_1E572976D134_.wvu.FilterData" localSheetId="0" hidden="1">рпр!$A$8:$G$951</definedName>
    <definedName name="Z_1CA6CCC9_64EF_4CA9_9C9C_1E572976D134_.wvu.PrintTitles" localSheetId="0" hidden="1">рпр!$9:$10</definedName>
    <definedName name="Z_1CA6CCC9_64EF_4CA9_9C9C_1E572976D134_.wvu.Rows" localSheetId="0" hidden="1">рпр!$12:$123,рпр!$125:$145,рпр!$148:$156,рпр!$158:$172,рпр!$174:$284,рпр!$286:$310,рпр!$313:$348,рпр!$350:$498,рпр!$500:$584,рпр!$586:$605,рпр!$608:$612,рпр!$615:$635,рпр!$637:$700,рпр!$702:$723,рпр!$725:$741,рпр!$743:$792,рпр!$795:$814,рпр!$816:$837,рпр!$841:$843,рпр!$845:$858,рпр!$860:$889,рпр!$892:$896,рпр!$898:$919,рпр!$921:$941,рпр!$944:$946,рпр!$949:$951</definedName>
    <definedName name="Z_23A5EAB7_7745_45A3_8BB4_D6186958C7BF_.wvu.FilterData" localSheetId="0" hidden="1">рпр!$D$3:$D$17</definedName>
    <definedName name="Z_23A5EAB7_7745_45A3_8BB4_D6186958C7BF_.wvu.PrintTitles" localSheetId="0" hidden="1">рпр!$9:$10</definedName>
    <definedName name="Z_23F7C319_D9D7_459A_B8F5_A3581D3A5B81_.wvu.FilterData" localSheetId="0" hidden="1">рпр!$D$3:$D$17</definedName>
    <definedName name="Z_2A135292_D5EB_4A8D_A93E_D0B24F2543E0_.wvu.FilterData" localSheetId="0" hidden="1">рпр!$B$1:$B$969</definedName>
    <definedName name="Z_2A135292_D5EB_4A8D_A93E_D0B24F2543E0_.wvu.PrintTitles" localSheetId="0" hidden="1">рпр!$9:$10</definedName>
    <definedName name="Z_3197038B_7AE0_453D_B16F_842F91D12370_.wvu.FilterData" localSheetId="0" hidden="1">рпр!$D$3:$D$17</definedName>
    <definedName name="Z_32FC6AA7_97FD_40A3_9558_62D49F19A162_.wvu.FilterData" localSheetId="0" hidden="1">рпр!$D$3:$D$17</definedName>
    <definedName name="Z_3D5FA0F4_920E_4BDD_8237_DA71285E552D_.wvu.FilterData" localSheetId="0" hidden="1">рпр!$D$3:$D$17</definedName>
    <definedName name="Z_3E648FDD_E1B7_4790_827B_0B5F0EAD6452_.wvu.FilterData" localSheetId="0" hidden="1">рпр!$D$3:$D$17</definedName>
    <definedName name="Z_5489E52F_3E4E_4A5D_9CAF_34B64A29D785_.wvu.FilterData" localSheetId="0" hidden="1">рпр!$D$3:$D$17</definedName>
    <definedName name="Z_61C84D61_2D1A_4C38_8F3E_B87673D547A5_.wvu.FilterData" localSheetId="0" hidden="1">рпр!$A$8:$G$951</definedName>
    <definedName name="Z_61C84D61_2D1A_4C38_8F3E_B87673D547A5_.wvu.PrintTitles" localSheetId="0" hidden="1">рпр!$9:$10</definedName>
    <definedName name="Z_6C9A7D5C_610A_4B66_A332_0B1E5ACC7CDC_.wvu.FilterData" localSheetId="0" hidden="1">рпр!$C$3:$C$956</definedName>
    <definedName name="Z_6D8949E9_8F67_452F_8026_18F60ECD626A_.wvu.FilterData" localSheetId="0" hidden="1">рпр!$C$3:$C$956</definedName>
    <definedName name="Z_7106963E_70F3_48C5_B362_9B000C363242_.wvu.FilterData" localSheetId="0" hidden="1">рпр!$A$8:$G$951</definedName>
    <definedName name="Z_926F2036_6CA2_4D9D_9A3F_FBB9B9A9CDEA_.wvu.FilterData" localSheetId="0" hidden="1">рпр!$D$3:$D$17</definedName>
    <definedName name="Z_9392CBD6_F4B0_493F_995C_C6327321BD49_.wvu.FilterData" localSheetId="0" hidden="1">рпр!$A$8:$G$951</definedName>
    <definedName name="Z_93B03682_4FA6_4195_9F3E_A40BC2C05B11_.wvu.FilterData" localSheetId="0" hidden="1">рпр!$D$3:$D$17</definedName>
    <definedName name="Z_98E64474_CDF2_4660_977D_8A2058B27A2F_.wvu.FilterData" localSheetId="0" hidden="1">рпр!$A$8:$G$951</definedName>
    <definedName name="Z_98E64474_CDF2_4660_977D_8A2058B27A2F_.wvu.PrintTitles" localSheetId="0" hidden="1">рпр!$9:$10</definedName>
    <definedName name="Z_9FDAC6D4_D6DE_4524_BE34_3372FE2E9C61_.wvu.FilterData" localSheetId="0" hidden="1">рпр!$D$3:$D$17</definedName>
    <definedName name="Z_AA62EF5A_85DE_4BC8_95D5_4F54CE8CF3D6_.wvu.FilterData" localSheetId="0" hidden="1">рпр!$B$1:$B$969</definedName>
    <definedName name="Z_AA62EF5A_85DE_4BC8_95D5_4F54CE8CF3D6_.wvu.PrintTitles" localSheetId="0" hidden="1">рпр!$9:$10</definedName>
    <definedName name="Z_BB350AFD_3C59_406F_B078_BA01ED584583_.wvu.FilterData" localSheetId="0" hidden="1">рпр!$C$3:$C$956</definedName>
    <definedName name="Z_BBC98704_382B_4A77_8B65_8E0E10583F10_.wvu.FilterData" localSheetId="0" hidden="1">рпр!$C$3:$C$956</definedName>
    <definedName name="Z_C1741D45_C46A_4DC7_AC19_5A71334CAEEE_.wvu.FilterData" localSheetId="0" hidden="1">рпр!$A$8:$G$951</definedName>
    <definedName name="Z_D2822DC7_D4ED_4DDD_BAA7_FCD29EB01634_.wvu.FilterData" localSheetId="0" hidden="1">рпр!$C$3:$C$956</definedName>
    <definedName name="Z_DE4C4DED_3532_45E6_82B9_84CB49AD099F_.wvu.FilterData" localSheetId="0" hidden="1">рпр!$C$3:$C$956</definedName>
    <definedName name="Z_EBD9B7AB_7702_45BD_91FB_72E8ED80273F_.wvu.FilterData" localSheetId="0" hidden="1">рпр!$A$8:$G$951</definedName>
    <definedName name="Z_F90D38A5_C457_4FC4_B8B4_5D36CD74970E_.wvu.FilterData" localSheetId="0" hidden="1">рпр!$D$3:$D$17</definedName>
    <definedName name="Z_FD876D40_493A_470C_A137_1F7C6C6DA01D_.wvu.FilterData" localSheetId="0" hidden="1">рпр!$D$3:$D$17</definedName>
    <definedName name="Z_FD876D40_493A_470C_A137_1F7C6C6DA01D_.wvu.PrintTitles" localSheetId="0" hidden="1">рпр!$9:$10</definedName>
    <definedName name="_xlnm.Print_Titles" localSheetId="0">рпр!$9:$10</definedName>
  </definedNames>
  <calcPr calcId="191029"/>
  <customWorkbookViews>
    <customWorkbookView name="Наталья Геращенко - Личное представление" guid="{2A135292-D5EB-4A8D-A93E-D0B24F2543E0}" mergeInterval="0" personalView="1" xWindow="74" yWindow="7" windowWidth="957" windowHeight="1025" activeSheetId="1"/>
    <customWorkbookView name="Ярина Анна - Личное представление" guid="{AA62EF5A-85DE-4BC8-95D5-4F54CE8CF3D6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1187" yWindow="5" windowWidth="722" windowHeight="1034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5" i="1" l="1"/>
  <c r="G275" i="1"/>
  <c r="E275" i="1"/>
  <c r="G277" i="1"/>
  <c r="G265" i="1"/>
  <c r="G262" i="1"/>
  <c r="G260" i="1"/>
  <c r="F249" i="1" l="1"/>
  <c r="G249" i="1"/>
  <c r="G139" i="1"/>
  <c r="G137" i="1"/>
  <c r="F543" i="1"/>
  <c r="G390" i="1"/>
  <c r="E390" i="1"/>
  <c r="F390" i="1"/>
  <c r="G386" i="1"/>
  <c r="E386" i="1"/>
  <c r="G384" i="1"/>
  <c r="E384" i="1"/>
  <c r="F386" i="1"/>
  <c r="F384" i="1"/>
  <c r="F405" i="1"/>
  <c r="F403" i="1"/>
  <c r="F401" i="1"/>
  <c r="F399" i="1"/>
  <c r="F277" i="1"/>
  <c r="F270" i="1"/>
  <c r="F265" i="1"/>
  <c r="F263" i="1"/>
  <c r="F262" i="1"/>
  <c r="F260" i="1"/>
  <c r="G233" i="1"/>
  <c r="E233" i="1"/>
  <c r="G231" i="1"/>
  <c r="E231" i="1"/>
  <c r="G229" i="1"/>
  <c r="E229" i="1"/>
  <c r="G227" i="1"/>
  <c r="E227" i="1"/>
  <c r="G225" i="1"/>
  <c r="E225" i="1"/>
  <c r="F233" i="1"/>
  <c r="F231" i="1"/>
  <c r="F229" i="1"/>
  <c r="F227" i="1"/>
  <c r="F225" i="1"/>
  <c r="G221" i="1"/>
  <c r="E221" i="1"/>
  <c r="G219" i="1"/>
  <c r="E219" i="1"/>
  <c r="G217" i="1"/>
  <c r="E217" i="1"/>
  <c r="F221" i="1"/>
  <c r="F219" i="1"/>
  <c r="F217" i="1"/>
  <c r="F204" i="1"/>
  <c r="F161" i="1"/>
  <c r="F160" i="1" s="1"/>
  <c r="F159" i="1" s="1"/>
  <c r="G161" i="1"/>
  <c r="G160" i="1" s="1"/>
  <c r="G159" i="1" s="1"/>
  <c r="E161" i="1"/>
  <c r="E160" i="1" s="1"/>
  <c r="E159" i="1" s="1"/>
  <c r="F168" i="1"/>
  <c r="F139" i="1"/>
  <c r="F137" i="1"/>
  <c r="F79" i="1"/>
  <c r="F33" i="1"/>
  <c r="E86" i="1"/>
  <c r="E62" i="1"/>
  <c r="F501" i="1"/>
  <c r="F500" i="1" s="1"/>
  <c r="G501" i="1"/>
  <c r="G500" i="1" s="1"/>
  <c r="E501" i="1"/>
  <c r="E500" i="1" s="1"/>
  <c r="E543" i="1"/>
  <c r="F351" i="1"/>
  <c r="F350" i="1" s="1"/>
  <c r="G351" i="1"/>
  <c r="G350" i="1" s="1"/>
  <c r="E351" i="1"/>
  <c r="E350" i="1" s="1"/>
  <c r="F127" i="1"/>
  <c r="G127" i="1"/>
  <c r="E127" i="1"/>
  <c r="E142" i="1"/>
  <c r="F94" i="1" l="1"/>
  <c r="G94" i="1"/>
  <c r="E87" i="1"/>
  <c r="F80" i="1"/>
  <c r="G80" i="1"/>
  <c r="E80" i="1"/>
  <c r="E56" i="1"/>
  <c r="E93" i="1" l="1"/>
  <c r="E19" i="1"/>
  <c r="F377" i="1"/>
  <c r="G377" i="1"/>
  <c r="E377" i="1"/>
  <c r="E837" i="1"/>
  <c r="E836" i="1" s="1"/>
  <c r="F836" i="1"/>
  <c r="G836" i="1"/>
  <c r="E832" i="1"/>
  <c r="E830" i="1"/>
  <c r="E814" i="1"/>
  <c r="E84" i="1"/>
  <c r="E723" i="1"/>
  <c r="E788" i="1"/>
  <c r="E787" i="1"/>
  <c r="E782" i="1"/>
  <c r="E781" i="1"/>
  <c r="E776" i="1"/>
  <c r="E710" i="1"/>
  <c r="E700" i="1"/>
  <c r="E698" i="1"/>
  <c r="E694" i="1"/>
  <c r="E667" i="1"/>
  <c r="E635" i="1"/>
  <c r="E552" i="1"/>
  <c r="E598" i="1"/>
  <c r="E597" i="1"/>
  <c r="E596" i="1"/>
  <c r="E595" i="1"/>
  <c r="E584" i="1"/>
  <c r="E582" i="1"/>
  <c r="F579" i="1"/>
  <c r="G579" i="1"/>
  <c r="E580" i="1"/>
  <c r="E579" i="1" s="1"/>
  <c r="E570" i="1"/>
  <c r="E566" i="1"/>
  <c r="E564" i="1"/>
  <c r="E560" i="1"/>
  <c r="E558" i="1"/>
  <c r="E551" i="1"/>
  <c r="E549" i="1"/>
  <c r="F536" i="1"/>
  <c r="G536" i="1"/>
  <c r="E536" i="1"/>
  <c r="E486" i="1"/>
  <c r="E482" i="1"/>
  <c r="F369" i="1"/>
  <c r="G369" i="1"/>
  <c r="E369" i="1"/>
  <c r="E345" i="1"/>
  <c r="E252" i="1"/>
  <c r="E83" i="1"/>
  <c r="E917" i="1"/>
  <c r="F909" i="1"/>
  <c r="G909" i="1"/>
  <c r="E909" i="1"/>
  <c r="E905" i="1"/>
  <c r="E896" i="1"/>
  <c r="E605" i="1"/>
  <c r="E604" i="1"/>
  <c r="E527" i="1"/>
  <c r="E525" i="1"/>
  <c r="E523" i="1"/>
  <c r="E395" i="1"/>
  <c r="E393" i="1"/>
  <c r="E376" i="1"/>
  <c r="E374" i="1"/>
  <c r="E372" i="1"/>
  <c r="F362" i="1"/>
  <c r="G362" i="1"/>
  <c r="E364" i="1"/>
  <c r="E362" i="1" s="1"/>
  <c r="E335" i="1"/>
  <c r="E331" i="1"/>
  <c r="E310" i="1"/>
  <c r="E260" i="1"/>
  <c r="E75" i="1"/>
  <c r="E74" i="1"/>
  <c r="E34" i="1"/>
  <c r="E33" i="1"/>
  <c r="E79" i="1"/>
  <c r="E403" i="1"/>
  <c r="E402" i="1" s="1"/>
  <c r="E401" i="1"/>
  <c r="E400" i="1" s="1"/>
  <c r="E399" i="1"/>
  <c r="E398" i="1" s="1"/>
  <c r="E856" i="1"/>
  <c r="F468" i="1"/>
  <c r="G468" i="1"/>
  <c r="E469" i="1"/>
  <c r="E468" i="1" s="1"/>
  <c r="F454" i="1"/>
  <c r="G454" i="1"/>
  <c r="E455" i="1"/>
  <c r="E454" i="1" s="1"/>
  <c r="E451" i="1"/>
  <c r="F269" i="1"/>
  <c r="G269" i="1"/>
  <c r="E270" i="1"/>
  <c r="E269" i="1" s="1"/>
  <c r="E268" i="1"/>
  <c r="F478" i="1"/>
  <c r="G478" i="1"/>
  <c r="F476" i="1"/>
  <c r="G476" i="1"/>
  <c r="F474" i="1"/>
  <c r="G474" i="1"/>
  <c r="F472" i="1"/>
  <c r="G472" i="1"/>
  <c r="F470" i="1"/>
  <c r="G470" i="1"/>
  <c r="F466" i="1"/>
  <c r="G466" i="1"/>
  <c r="F464" i="1"/>
  <c r="G464" i="1"/>
  <c r="F462" i="1"/>
  <c r="G462" i="1"/>
  <c r="F460" i="1"/>
  <c r="G460" i="1"/>
  <c r="F458" i="1"/>
  <c r="G458" i="1"/>
  <c r="F456" i="1"/>
  <c r="G456" i="1"/>
  <c r="E479" i="1"/>
  <c r="E478" i="1" s="1"/>
  <c r="E477" i="1"/>
  <c r="E476" i="1" s="1"/>
  <c r="E475" i="1"/>
  <c r="E474" i="1" s="1"/>
  <c r="E473" i="1"/>
  <c r="E472" i="1" s="1"/>
  <c r="E471" i="1"/>
  <c r="E470" i="1" s="1"/>
  <c r="E467" i="1"/>
  <c r="E466" i="1" s="1"/>
  <c r="E465" i="1"/>
  <c r="E464" i="1" s="1"/>
  <c r="E463" i="1"/>
  <c r="E462" i="1" s="1"/>
  <c r="E461" i="1"/>
  <c r="E460" i="1" s="1"/>
  <c r="E459" i="1"/>
  <c r="E458" i="1" s="1"/>
  <c r="E457" i="1"/>
  <c r="E456" i="1" s="1"/>
  <c r="E437" i="1"/>
  <c r="E435" i="1"/>
  <c r="E429" i="1"/>
  <c r="E407" i="1"/>
  <c r="E405" i="1"/>
  <c r="F402" i="1"/>
  <c r="G402" i="1"/>
  <c r="F400" i="1"/>
  <c r="G400" i="1"/>
  <c r="F398" i="1"/>
  <c r="G398" i="1"/>
  <c r="F388" i="1"/>
  <c r="G388" i="1"/>
  <c r="F382" i="1"/>
  <c r="G382" i="1"/>
  <c r="E388" i="1"/>
  <c r="E382" i="1"/>
  <c r="E265" i="1"/>
  <c r="E262" i="1"/>
  <c r="E28" i="1"/>
  <c r="E951" i="1"/>
  <c r="E847" i="1"/>
  <c r="E320" i="1"/>
  <c r="E319" i="1" s="1"/>
  <c r="E318" i="1"/>
  <c r="E317" i="1"/>
  <c r="E112" i="1"/>
  <c r="E824" i="1"/>
  <c r="E925" i="1"/>
  <c r="E785" i="1"/>
  <c r="E669" i="1"/>
  <c r="E625" i="1"/>
  <c r="E574" i="1"/>
  <c r="G532" i="1"/>
  <c r="F532" i="1"/>
  <c r="E532" i="1"/>
  <c r="E277" i="1"/>
  <c r="E139" i="1"/>
  <c r="E843" i="1"/>
  <c r="E741" i="1"/>
  <c r="E737" i="1"/>
  <c r="E603" i="1"/>
  <c r="E32" i="1"/>
  <c r="F319" i="1"/>
  <c r="G319" i="1"/>
  <c r="F338" i="1" l="1"/>
  <c r="G338" i="1"/>
  <c r="E338" i="1"/>
  <c r="F758" i="1"/>
  <c r="G758" i="1"/>
  <c r="F755" i="1"/>
  <c r="G755" i="1"/>
  <c r="E755" i="1"/>
  <c r="E758" i="1"/>
  <c r="E825" i="1"/>
  <c r="E515" i="1"/>
  <c r="F316" i="1"/>
  <c r="G316" i="1"/>
  <c r="E316" i="1"/>
  <c r="F530" i="1"/>
  <c r="G530" i="1"/>
  <c r="E530" i="1"/>
  <c r="F375" i="1"/>
  <c r="G375" i="1"/>
  <c r="F371" i="1"/>
  <c r="G371" i="1"/>
  <c r="F373" i="1"/>
  <c r="G373" i="1"/>
  <c r="F360" i="1"/>
  <c r="G360" i="1"/>
  <c r="E375" i="1"/>
  <c r="E373" i="1"/>
  <c r="E371" i="1"/>
  <c r="E747" i="1"/>
  <c r="E143" i="1"/>
  <c r="E141" i="1"/>
  <c r="E249" i="1"/>
  <c r="E103" i="1" l="1"/>
  <c r="E89" i="1"/>
  <c r="F300" i="1" l="1"/>
  <c r="G300" i="1"/>
  <c r="E300" i="1"/>
  <c r="E50" i="1"/>
  <c r="E85" i="1"/>
  <c r="F85" i="1"/>
  <c r="G85" i="1"/>
  <c r="G808" i="1"/>
  <c r="F283" i="1"/>
  <c r="F282" i="1" s="1"/>
  <c r="F281" i="1" s="1"/>
  <c r="F280" i="1" s="1"/>
  <c r="G283" i="1"/>
  <c r="G282" i="1" s="1"/>
  <c r="G281" i="1" s="1"/>
  <c r="G280" i="1" s="1"/>
  <c r="G245" i="1"/>
  <c r="E245" i="1"/>
  <c r="F245" i="1"/>
  <c r="E304" i="1" l="1"/>
  <c r="F304" i="1"/>
  <c r="G304" i="1"/>
  <c r="F302" i="1"/>
  <c r="G302" i="1"/>
  <c r="E302" i="1"/>
  <c r="F581" i="1"/>
  <c r="G581" i="1"/>
  <c r="E581" i="1"/>
  <c r="E450" i="1"/>
  <c r="G450" i="1"/>
  <c r="F450" i="1"/>
  <c r="E448" i="1"/>
  <c r="E446" i="1"/>
  <c r="F448" i="1"/>
  <c r="G448" i="1"/>
  <c r="F446" i="1"/>
  <c r="G446" i="1"/>
  <c r="F336" i="1"/>
  <c r="G336" i="1"/>
  <c r="E336" i="1"/>
  <c r="F534" i="1"/>
  <c r="G534" i="1"/>
  <c r="E534" i="1"/>
  <c r="E452" i="1"/>
  <c r="F452" i="1"/>
  <c r="G452" i="1"/>
  <c r="F571" i="1"/>
  <c r="G571" i="1"/>
  <c r="E571" i="1"/>
  <c r="F528" i="1"/>
  <c r="G528" i="1"/>
  <c r="E528" i="1"/>
  <c r="G215" i="1"/>
  <c r="F215" i="1"/>
  <c r="E215" i="1"/>
  <c r="E283" i="1"/>
  <c r="G266" i="1"/>
  <c r="F266" i="1"/>
  <c r="G247" i="1"/>
  <c r="F247" i="1"/>
  <c r="E247" i="1"/>
  <c r="F641" i="1"/>
  <c r="F705" i="1"/>
  <c r="F704" i="1" s="1"/>
  <c r="F703" i="1" s="1"/>
  <c r="G705" i="1"/>
  <c r="G704" i="1" s="1"/>
  <c r="G703" i="1" s="1"/>
  <c r="E705" i="1"/>
  <c r="E704" i="1" s="1"/>
  <c r="E703" i="1" s="1"/>
  <c r="E764" i="1"/>
  <c r="F764" i="1"/>
  <c r="G764" i="1"/>
  <c r="F809" i="1"/>
  <c r="E809" i="1"/>
  <c r="E299" i="1" l="1"/>
  <c r="E266" i="1"/>
  <c r="G299" i="1"/>
  <c r="F299" i="1"/>
  <c r="E807" i="1"/>
  <c r="E808" i="1"/>
  <c r="F807" i="1"/>
  <c r="F808" i="1"/>
  <c r="E282" i="1"/>
  <c r="E281" i="1" s="1"/>
  <c r="E280" i="1" s="1"/>
  <c r="F522" i="1"/>
  <c r="F927" i="1"/>
  <c r="G927" i="1"/>
  <c r="F717" i="1"/>
  <c r="F716" i="1" s="1"/>
  <c r="G717" i="1"/>
  <c r="G716" i="1" s="1"/>
  <c r="F672" i="1"/>
  <c r="G672" i="1"/>
  <c r="E641" i="1"/>
  <c r="F632" i="1"/>
  <c r="G632" i="1"/>
  <c r="G569" i="1"/>
  <c r="F569" i="1"/>
  <c r="G538" i="1"/>
  <c r="F538" i="1"/>
  <c r="G526" i="1"/>
  <c r="F526" i="1"/>
  <c r="G524" i="1"/>
  <c r="F524" i="1"/>
  <c r="F516" i="1"/>
  <c r="G516" i="1"/>
  <c r="F510" i="1"/>
  <c r="G510" i="1"/>
  <c r="F444" i="1"/>
  <c r="G444" i="1"/>
  <c r="G442" i="1"/>
  <c r="G440" i="1"/>
  <c r="F438" i="1"/>
  <c r="G438" i="1"/>
  <c r="F392" i="1"/>
  <c r="G392" i="1"/>
  <c r="F340" i="1"/>
  <c r="G340" i="1"/>
  <c r="F332" i="1"/>
  <c r="G332" i="1"/>
  <c r="F321" i="1"/>
  <c r="G321" i="1"/>
  <c r="G315" i="1" l="1"/>
  <c r="G314" i="1" s="1"/>
  <c r="F315" i="1"/>
  <c r="F314" i="1" s="1"/>
  <c r="F213" i="1"/>
  <c r="G213" i="1"/>
  <c r="E213" i="1"/>
  <c r="F223" i="1"/>
  <c r="E223" i="1"/>
  <c r="G223" i="1"/>
  <c r="E211" i="1"/>
  <c r="G211" i="1"/>
  <c r="E209" i="1"/>
  <c r="F209" i="1"/>
  <c r="G209" i="1"/>
  <c r="E207" i="1"/>
  <c r="G207" i="1"/>
  <c r="G205" i="1"/>
  <c r="E205" i="1"/>
  <c r="E203" i="1"/>
  <c r="G203" i="1"/>
  <c r="G201" i="1"/>
  <c r="G199" i="1"/>
  <c r="F197" i="1"/>
  <c r="G197" i="1"/>
  <c r="F195" i="1"/>
  <c r="G195" i="1"/>
  <c r="F193" i="1"/>
  <c r="G193" i="1"/>
  <c r="F191" i="1"/>
  <c r="G191" i="1"/>
  <c r="F189" i="1"/>
  <c r="G189" i="1"/>
  <c r="F187" i="1"/>
  <c r="G187" i="1"/>
  <c r="F185" i="1"/>
  <c r="G185" i="1"/>
  <c r="F183" i="1"/>
  <c r="G183" i="1"/>
  <c r="F181" i="1"/>
  <c r="G181" i="1"/>
  <c r="F179" i="1"/>
  <c r="G179" i="1"/>
  <c r="E927" i="1" l="1"/>
  <c r="G912" i="1"/>
  <c r="E912" i="1"/>
  <c r="F912" i="1"/>
  <c r="F907" i="1"/>
  <c r="G907" i="1"/>
  <c r="E907" i="1"/>
  <c r="E906" i="1" s="1"/>
  <c r="G906" i="1" l="1"/>
  <c r="F906" i="1"/>
  <c r="E717" i="1"/>
  <c r="E716" i="1" s="1"/>
  <c r="E672" i="1"/>
  <c r="E632" i="1"/>
  <c r="E538" i="1"/>
  <c r="E510" i="1"/>
  <c r="F577" i="1"/>
  <c r="G577" i="1"/>
  <c r="E577" i="1"/>
  <c r="E516" i="1"/>
  <c r="E569" i="1"/>
  <c r="E526" i="1"/>
  <c r="E524" i="1"/>
  <c r="F442" i="1"/>
  <c r="F440" i="1"/>
  <c r="E444" i="1"/>
  <c r="E438" i="1"/>
  <c r="E442" i="1"/>
  <c r="E440" i="1"/>
  <c r="E436" i="1"/>
  <c r="E434" i="1"/>
  <c r="F436" i="1"/>
  <c r="G436" i="1"/>
  <c r="F434" i="1"/>
  <c r="G434" i="1"/>
  <c r="E392" i="1"/>
  <c r="E321" i="1"/>
  <c r="E315" i="1" s="1"/>
  <c r="E340" i="1"/>
  <c r="E314" i="1" l="1"/>
  <c r="E780" i="1"/>
  <c r="E332" i="1"/>
  <c r="F293" i="1"/>
  <c r="G293" i="1"/>
  <c r="E293" i="1"/>
  <c r="F211" i="1"/>
  <c r="F207" i="1"/>
  <c r="F205" i="1"/>
  <c r="F203" i="1"/>
  <c r="F201" i="1"/>
  <c r="F199" i="1"/>
  <c r="E201" i="1"/>
  <c r="E199" i="1"/>
  <c r="E197" i="1"/>
  <c r="E195" i="1"/>
  <c r="E193" i="1"/>
  <c r="E191" i="1"/>
  <c r="E189" i="1"/>
  <c r="E187" i="1"/>
  <c r="E185" i="1"/>
  <c r="E183" i="1"/>
  <c r="E181" i="1"/>
  <c r="E179" i="1"/>
  <c r="F177" i="1"/>
  <c r="G177" i="1"/>
  <c r="G176" i="1" s="1"/>
  <c r="E177" i="1"/>
  <c r="E243" i="1"/>
  <c r="F243" i="1"/>
  <c r="G243" i="1"/>
  <c r="F176" i="1" l="1"/>
  <c r="E176" i="1"/>
  <c r="F155" i="1"/>
  <c r="F154" i="1" s="1"/>
  <c r="F153" i="1" s="1"/>
  <c r="G155" i="1"/>
  <c r="G154" i="1" s="1"/>
  <c r="G153" i="1" s="1"/>
  <c r="E155" i="1"/>
  <c r="E154" i="1" s="1"/>
  <c r="E153" i="1" s="1"/>
  <c r="F144" i="1"/>
  <c r="G144" i="1"/>
  <c r="E144" i="1"/>
  <c r="E95" i="1"/>
  <c r="E94" i="1" s="1"/>
  <c r="F98" i="1"/>
  <c r="G98" i="1"/>
  <c r="F102" i="1"/>
  <c r="G102" i="1"/>
  <c r="F100" i="1"/>
  <c r="G100" i="1"/>
  <c r="G96" i="1"/>
  <c r="F96" i="1"/>
  <c r="E98" i="1"/>
  <c r="E96" i="1"/>
  <c r="E82" i="1"/>
  <c r="E102" i="1"/>
  <c r="E106" i="1"/>
  <c r="E100" i="1"/>
  <c r="E104" i="1"/>
  <c r="E784" i="1" l="1"/>
  <c r="E786" i="1" l="1"/>
  <c r="F432" i="1" l="1"/>
  <c r="G432" i="1"/>
  <c r="F430" i="1"/>
  <c r="G430" i="1"/>
  <c r="F428" i="1"/>
  <c r="G428" i="1"/>
  <c r="F426" i="1"/>
  <c r="G426" i="1"/>
  <c r="G656" i="1"/>
  <c r="F656" i="1"/>
  <c r="E656" i="1"/>
  <c r="G654" i="1"/>
  <c r="F654" i="1"/>
  <c r="E654" i="1"/>
  <c r="G640" i="1"/>
  <c r="G639" i="1" s="1"/>
  <c r="F640" i="1"/>
  <c r="F639" i="1" s="1"/>
  <c r="E640" i="1"/>
  <c r="E639" i="1" s="1"/>
  <c r="G52" i="1" l="1"/>
  <c r="G50" i="1" s="1"/>
  <c r="F52" i="1"/>
  <c r="F50" i="1" s="1"/>
  <c r="G46" i="1"/>
  <c r="G45" i="1"/>
  <c r="F46" i="1"/>
  <c r="F45" i="1"/>
  <c r="G43" i="1"/>
  <c r="G40" i="1"/>
  <c r="F40" i="1"/>
  <c r="G44" i="1" l="1"/>
  <c r="F550" i="1" l="1"/>
  <c r="G550" i="1"/>
  <c r="E550" i="1"/>
  <c r="F78" i="1" l="1"/>
  <c r="G78" i="1"/>
  <c r="F863" i="1"/>
  <c r="G863" i="1"/>
  <c r="E863" i="1"/>
  <c r="F777" i="1"/>
  <c r="G777" i="1"/>
  <c r="E777" i="1"/>
  <c r="F688" i="1"/>
  <c r="G688" i="1"/>
  <c r="E688" i="1"/>
  <c r="F686" i="1"/>
  <c r="G686" i="1"/>
  <c r="E686" i="1"/>
  <c r="E682" i="1" l="1"/>
  <c r="F676" i="1" l="1"/>
  <c r="G676" i="1"/>
  <c r="E676" i="1"/>
  <c r="F662" i="1"/>
  <c r="G662" i="1"/>
  <c r="E662" i="1"/>
  <c r="F652" i="1"/>
  <c r="F651" i="1" s="1"/>
  <c r="F650" i="1" s="1"/>
  <c r="G652" i="1"/>
  <c r="G651" i="1" s="1"/>
  <c r="G650" i="1" s="1"/>
  <c r="E652" i="1"/>
  <c r="F648" i="1"/>
  <c r="G648" i="1"/>
  <c r="F646" i="1"/>
  <c r="G646" i="1"/>
  <c r="E648" i="1"/>
  <c r="E646" i="1"/>
  <c r="F644" i="1"/>
  <c r="G644" i="1"/>
  <c r="E644" i="1"/>
  <c r="E594" i="1"/>
  <c r="F487" i="1"/>
  <c r="G487" i="1"/>
  <c r="E487" i="1"/>
  <c r="F256" i="1"/>
  <c r="E256" i="1"/>
  <c r="G522" i="1"/>
  <c r="F520" i="1"/>
  <c r="G520" i="1"/>
  <c r="E522" i="1"/>
  <c r="E520" i="1"/>
  <c r="F356" i="1"/>
  <c r="F355" i="1" s="1"/>
  <c r="F354" i="1" s="1"/>
  <c r="G356" i="1"/>
  <c r="G355" i="1" s="1"/>
  <c r="G354" i="1" s="1"/>
  <c r="E356" i="1"/>
  <c r="E355" i="1" s="1"/>
  <c r="E354" i="1" s="1"/>
  <c r="E643" i="1" l="1"/>
  <c r="E638" i="1" s="1"/>
  <c r="G643" i="1"/>
  <c r="G638" i="1" s="1"/>
  <c r="F643" i="1"/>
  <c r="F638" i="1" s="1"/>
  <c r="F171" i="1"/>
  <c r="G171" i="1"/>
  <c r="E171" i="1"/>
  <c r="F693" i="1" l="1"/>
  <c r="G693" i="1"/>
  <c r="E693" i="1"/>
  <c r="F658" i="1"/>
  <c r="G658" i="1"/>
  <c r="E658" i="1"/>
  <c r="E651" i="1" s="1"/>
  <c r="E650" i="1" s="1"/>
  <c r="F901" i="1"/>
  <c r="F900" i="1" s="1"/>
  <c r="G901" i="1"/>
  <c r="G900" i="1" s="1"/>
  <c r="E901" i="1"/>
  <c r="E900" i="1" s="1"/>
  <c r="E432" i="1"/>
  <c r="E430" i="1"/>
  <c r="E428" i="1"/>
  <c r="E426" i="1"/>
  <c r="F422" i="1"/>
  <c r="G422" i="1"/>
  <c r="F424" i="1"/>
  <c r="G424" i="1"/>
  <c r="E424" i="1"/>
  <c r="E422" i="1"/>
  <c r="F416" i="1" l="1"/>
  <c r="G416" i="1"/>
  <c r="F418" i="1"/>
  <c r="G418" i="1"/>
  <c r="F420" i="1"/>
  <c r="G420" i="1"/>
  <c r="E420" i="1"/>
  <c r="E418" i="1"/>
  <c r="E416" i="1"/>
  <c r="F412" i="1"/>
  <c r="G412" i="1"/>
  <c r="F414" i="1"/>
  <c r="G414" i="1"/>
  <c r="E414" i="1"/>
  <c r="E412" i="1"/>
  <c r="F88" i="1"/>
  <c r="G88" i="1"/>
  <c r="E88" i="1"/>
  <c r="G175" i="1" l="1"/>
  <c r="F175" i="1"/>
  <c r="E175" i="1"/>
  <c r="F73" i="1" l="1"/>
  <c r="G73" i="1"/>
  <c r="E73" i="1"/>
  <c r="F803" i="1"/>
  <c r="G803" i="1"/>
  <c r="F805" i="1"/>
  <c r="G805" i="1"/>
  <c r="E805" i="1"/>
  <c r="E803" i="1"/>
  <c r="E78" i="1"/>
  <c r="F492" i="1"/>
  <c r="G492" i="1"/>
  <c r="E492" i="1"/>
  <c r="F490" i="1"/>
  <c r="G490" i="1"/>
  <c r="E490" i="1"/>
  <c r="F481" i="1"/>
  <c r="F480" i="1" s="1"/>
  <c r="G481" i="1"/>
  <c r="G480" i="1" s="1"/>
  <c r="E481" i="1"/>
  <c r="E480" i="1" s="1"/>
  <c r="F728" i="1"/>
  <c r="F727" i="1" s="1"/>
  <c r="F726" i="1" s="1"/>
  <c r="G728" i="1"/>
  <c r="G727" i="1" s="1"/>
  <c r="G726" i="1" s="1"/>
  <c r="E728" i="1"/>
  <c r="E727" i="1" s="1"/>
  <c r="E726" i="1" s="1"/>
  <c r="F261" i="1"/>
  <c r="G261" i="1"/>
  <c r="E261" i="1"/>
  <c r="F798" i="1"/>
  <c r="F797" i="1" s="1"/>
  <c r="F796" i="1" s="1"/>
  <c r="G798" i="1"/>
  <c r="G797" i="1" s="1"/>
  <c r="G796" i="1" s="1"/>
  <c r="E798" i="1"/>
  <c r="E797" i="1" s="1"/>
  <c r="E796" i="1" s="1"/>
  <c r="F934" i="1"/>
  <c r="F933" i="1" s="1"/>
  <c r="F932" i="1" s="1"/>
  <c r="G934" i="1"/>
  <c r="G933" i="1" s="1"/>
  <c r="G932" i="1" s="1"/>
  <c r="E934" i="1"/>
  <c r="E933" i="1" s="1"/>
  <c r="E932" i="1" s="1"/>
  <c r="F540" i="1"/>
  <c r="G540" i="1"/>
  <c r="F542" i="1"/>
  <c r="G542" i="1"/>
  <c r="E542" i="1"/>
  <c r="E540" i="1"/>
  <c r="F506" i="1"/>
  <c r="G506" i="1"/>
  <c r="E506" i="1"/>
  <c r="F508" i="1"/>
  <c r="G508" i="1"/>
  <c r="E508" i="1"/>
  <c r="E111" i="1"/>
  <c r="F253" i="1"/>
  <c r="G253" i="1"/>
  <c r="E253" i="1"/>
  <c r="E251" i="1"/>
  <c r="G256" i="1"/>
  <c r="F67" i="1"/>
  <c r="F66" i="1" s="1"/>
  <c r="F65" i="1" s="1"/>
  <c r="F64" i="1" s="1"/>
  <c r="F63" i="1" s="1"/>
  <c r="G67" i="1"/>
  <c r="G66" i="1" s="1"/>
  <c r="G65" i="1" s="1"/>
  <c r="G64" i="1" s="1"/>
  <c r="G63" i="1" s="1"/>
  <c r="E67" i="1"/>
  <c r="E66" i="1" s="1"/>
  <c r="E65" i="1" s="1"/>
  <c r="E64" i="1" s="1"/>
  <c r="E63" i="1" s="1"/>
  <c r="F394" i="1"/>
  <c r="G394" i="1"/>
  <c r="E394" i="1"/>
  <c r="F334" i="1"/>
  <c r="G334" i="1"/>
  <c r="E334" i="1"/>
  <c r="F241" i="1"/>
  <c r="G241" i="1"/>
  <c r="E241" i="1"/>
  <c r="E802" i="1" l="1"/>
  <c r="E801" i="1" s="1"/>
  <c r="E800" i="1" s="1"/>
  <c r="E505" i="1"/>
  <c r="E504" i="1" s="1"/>
  <c r="G802" i="1"/>
  <c r="G801" i="1" s="1"/>
  <c r="G800" i="1" s="1"/>
  <c r="F802" i="1"/>
  <c r="F801" i="1" s="1"/>
  <c r="F800" i="1" s="1"/>
  <c r="F505" i="1"/>
  <c r="F504" i="1" s="1"/>
  <c r="G505" i="1"/>
  <c r="G504" i="1" s="1"/>
  <c r="E61" i="1"/>
  <c r="E60" i="1" s="1"/>
  <c r="E59" i="1" s="1"/>
  <c r="F61" i="1"/>
  <c r="F60" i="1" s="1"/>
  <c r="F59" i="1" s="1"/>
  <c r="G61" i="1"/>
  <c r="G60" i="1" s="1"/>
  <c r="G59" i="1" s="1"/>
  <c r="E611" i="1"/>
  <c r="E610" i="1" s="1"/>
  <c r="E609" i="1" s="1"/>
  <c r="E608" i="1" s="1"/>
  <c r="E607" i="1" s="1"/>
  <c r="E606" i="1" s="1"/>
  <c r="F611" i="1"/>
  <c r="F610" i="1" s="1"/>
  <c r="F609" i="1" s="1"/>
  <c r="F608" i="1" s="1"/>
  <c r="F607" i="1" s="1"/>
  <c r="F606" i="1" s="1"/>
  <c r="G611" i="1"/>
  <c r="G610" i="1" s="1"/>
  <c r="G609" i="1" s="1"/>
  <c r="G608" i="1" s="1"/>
  <c r="G607" i="1" s="1"/>
  <c r="G606" i="1" s="1"/>
  <c r="G111" i="1" l="1"/>
  <c r="F111" i="1"/>
  <c r="G122" i="1"/>
  <c r="G121" i="1" s="1"/>
  <c r="G120" i="1" s="1"/>
  <c r="G119" i="1" s="1"/>
  <c r="F122" i="1"/>
  <c r="F121" i="1" s="1"/>
  <c r="F120" i="1" s="1"/>
  <c r="F119" i="1" s="1"/>
  <c r="E122" i="1"/>
  <c r="E121" i="1" s="1"/>
  <c r="E120" i="1" s="1"/>
  <c r="E119" i="1" s="1"/>
  <c r="G116" i="1"/>
  <c r="F116" i="1"/>
  <c r="E116" i="1"/>
  <c r="E110" i="1" s="1"/>
  <c r="E109" i="1" l="1"/>
  <c r="E108" i="1" s="1"/>
  <c r="F110" i="1"/>
  <c r="F109" i="1" s="1"/>
  <c r="F108" i="1" s="1"/>
  <c r="G110" i="1"/>
  <c r="G109" i="1" s="1"/>
  <c r="G108" i="1" s="1"/>
  <c r="G278" i="1"/>
  <c r="F278" i="1"/>
  <c r="E278" i="1"/>
  <c r="G251" i="1"/>
  <c r="F251" i="1"/>
  <c r="G945" i="1"/>
  <c r="G944" i="1" s="1"/>
  <c r="G943" i="1" s="1"/>
  <c r="G942" i="1" s="1"/>
  <c r="F945" i="1"/>
  <c r="F944" i="1" s="1"/>
  <c r="F943" i="1" s="1"/>
  <c r="F942" i="1" s="1"/>
  <c r="E945" i="1"/>
  <c r="E944" i="1" s="1"/>
  <c r="E943" i="1" s="1"/>
  <c r="E942" i="1" s="1"/>
  <c r="G871" i="1"/>
  <c r="F871" i="1"/>
  <c r="E871" i="1"/>
  <c r="G865" i="1"/>
  <c r="F865" i="1"/>
  <c r="E865" i="1"/>
  <c r="G869" i="1"/>
  <c r="F869" i="1"/>
  <c r="E869" i="1"/>
  <c r="G857" i="1"/>
  <c r="F857" i="1"/>
  <c r="E857" i="1"/>
  <c r="G855" i="1"/>
  <c r="F855" i="1"/>
  <c r="E855" i="1"/>
  <c r="G853" i="1"/>
  <c r="F853" i="1"/>
  <c r="E853" i="1"/>
  <c r="G602" i="1"/>
  <c r="G601" i="1" s="1"/>
  <c r="G600" i="1" s="1"/>
  <c r="G599" i="1" s="1"/>
  <c r="F602" i="1"/>
  <c r="F601" i="1" s="1"/>
  <c r="F600" i="1" s="1"/>
  <c r="F599" i="1" s="1"/>
  <c r="E602" i="1"/>
  <c r="E601" i="1" s="1"/>
  <c r="E600" i="1" s="1"/>
  <c r="E599" i="1" s="1"/>
  <c r="G594" i="1"/>
  <c r="G593" i="1" s="1"/>
  <c r="G592" i="1" s="1"/>
  <c r="G591" i="1" s="1"/>
  <c r="F594" i="1"/>
  <c r="F593" i="1" s="1"/>
  <c r="F592" i="1" s="1"/>
  <c r="F591" i="1" s="1"/>
  <c r="E593" i="1"/>
  <c r="E592" i="1" s="1"/>
  <c r="E591" i="1" s="1"/>
  <c r="G589" i="1"/>
  <c r="G588" i="1" s="1"/>
  <c r="G587" i="1" s="1"/>
  <c r="G586" i="1" s="1"/>
  <c r="F589" i="1"/>
  <c r="F588" i="1" s="1"/>
  <c r="F587" i="1" s="1"/>
  <c r="F586" i="1" s="1"/>
  <c r="E589" i="1"/>
  <c r="E588" i="1" s="1"/>
  <c r="E587" i="1" s="1"/>
  <c r="E586" i="1" s="1"/>
  <c r="G583" i="1"/>
  <c r="F583" i="1"/>
  <c r="E583" i="1"/>
  <c r="G575" i="1"/>
  <c r="F575" i="1"/>
  <c r="E575" i="1"/>
  <c r="G573" i="1"/>
  <c r="F573" i="1"/>
  <c r="E573" i="1"/>
  <c r="G567" i="1"/>
  <c r="F567" i="1"/>
  <c r="E567" i="1"/>
  <c r="G565" i="1"/>
  <c r="F565" i="1"/>
  <c r="E565" i="1"/>
  <c r="G563" i="1"/>
  <c r="F563" i="1"/>
  <c r="E563" i="1"/>
  <c r="G561" i="1"/>
  <c r="F561" i="1"/>
  <c r="E561" i="1"/>
  <c r="G559" i="1"/>
  <c r="F559" i="1"/>
  <c r="E559" i="1"/>
  <c r="G557" i="1"/>
  <c r="F557" i="1"/>
  <c r="E557" i="1"/>
  <c r="G555" i="1"/>
  <c r="F555" i="1"/>
  <c r="E555" i="1"/>
  <c r="G553" i="1"/>
  <c r="F553" i="1"/>
  <c r="E553" i="1"/>
  <c r="G548" i="1"/>
  <c r="F548" i="1"/>
  <c r="E548" i="1"/>
  <c r="G546" i="1"/>
  <c r="F546" i="1"/>
  <c r="E546" i="1"/>
  <c r="G514" i="1"/>
  <c r="F514" i="1"/>
  <c r="E514" i="1"/>
  <c r="G347" i="1"/>
  <c r="G346" i="1" s="1"/>
  <c r="F347" i="1"/>
  <c r="F346" i="1" s="1"/>
  <c r="E347" i="1"/>
  <c r="E346" i="1" s="1"/>
  <c r="G325" i="1"/>
  <c r="G324" i="1" s="1"/>
  <c r="G323" i="1" s="1"/>
  <c r="G313" i="1" s="1"/>
  <c r="F325" i="1"/>
  <c r="F324" i="1" s="1"/>
  <c r="F323" i="1" s="1"/>
  <c r="F313" i="1" s="1"/>
  <c r="E325" i="1"/>
  <c r="E324" i="1" s="1"/>
  <c r="E323" i="1" s="1"/>
  <c r="E313" i="1" s="1"/>
  <c r="E545" i="1" l="1"/>
  <c r="E544" i="1" s="1"/>
  <c r="F274" i="1"/>
  <c r="F273" i="1" s="1"/>
  <c r="G274" i="1"/>
  <c r="G273" i="1" s="1"/>
  <c r="F545" i="1"/>
  <c r="F544" i="1" s="1"/>
  <c r="G545" i="1"/>
  <c r="G544" i="1" s="1"/>
  <c r="F862" i="1"/>
  <c r="F861" i="1" s="1"/>
  <c r="G862" i="1"/>
  <c r="G861" i="1" s="1"/>
  <c r="E862" i="1"/>
  <c r="E861" i="1" s="1"/>
  <c r="E274" i="1"/>
  <c r="E273" i="1" s="1"/>
  <c r="F868" i="1"/>
  <c r="F867" i="1" s="1"/>
  <c r="E868" i="1"/>
  <c r="E867" i="1" s="1"/>
  <c r="G868" i="1"/>
  <c r="G867" i="1" s="1"/>
  <c r="E852" i="1"/>
  <c r="E851" i="1" s="1"/>
  <c r="E850" i="1" s="1"/>
  <c r="F852" i="1"/>
  <c r="F851" i="1" s="1"/>
  <c r="F850" i="1" s="1"/>
  <c r="G852" i="1"/>
  <c r="G851" i="1" s="1"/>
  <c r="G850" i="1" s="1"/>
  <c r="F585" i="1"/>
  <c r="E585" i="1"/>
  <c r="G585" i="1"/>
  <c r="G497" i="1"/>
  <c r="F497" i="1"/>
  <c r="E497" i="1"/>
  <c r="G495" i="1"/>
  <c r="F495" i="1"/>
  <c r="E495" i="1"/>
  <c r="G485" i="1"/>
  <c r="G484" i="1" s="1"/>
  <c r="F485" i="1"/>
  <c r="F484" i="1" s="1"/>
  <c r="E485" i="1"/>
  <c r="E484" i="1" s="1"/>
  <c r="G380" i="1"/>
  <c r="F380" i="1"/>
  <c r="E380" i="1"/>
  <c r="G344" i="1"/>
  <c r="G343" i="1" s="1"/>
  <c r="G342" i="1" s="1"/>
  <c r="F344" i="1"/>
  <c r="F343" i="1" s="1"/>
  <c r="F342" i="1" s="1"/>
  <c r="E344" i="1"/>
  <c r="E343" i="1" s="1"/>
  <c r="E342" i="1" s="1"/>
  <c r="G151" i="1"/>
  <c r="G150" i="1" s="1"/>
  <c r="G149" i="1" s="1"/>
  <c r="G148" i="1" s="1"/>
  <c r="G147" i="1" s="1"/>
  <c r="F151" i="1"/>
  <c r="F150" i="1" s="1"/>
  <c r="F149" i="1" s="1"/>
  <c r="F148" i="1" s="1"/>
  <c r="F147" i="1" s="1"/>
  <c r="E151" i="1"/>
  <c r="E150" i="1" s="1"/>
  <c r="E149" i="1" s="1"/>
  <c r="E148" i="1" s="1"/>
  <c r="E147" i="1" s="1"/>
  <c r="E494" i="1" l="1"/>
  <c r="G494" i="1"/>
  <c r="F494" i="1"/>
  <c r="G860" i="1"/>
  <c r="F860" i="1"/>
  <c r="E860" i="1"/>
  <c r="E483" i="1" l="1"/>
  <c r="F483" i="1"/>
  <c r="G483" i="1"/>
  <c r="G518" i="1" l="1"/>
  <c r="G513" i="1" s="1"/>
  <c r="F518" i="1"/>
  <c r="F513" i="1" s="1"/>
  <c r="E518" i="1"/>
  <c r="E513" i="1" s="1"/>
  <c r="G410" i="1"/>
  <c r="F410" i="1"/>
  <c r="E410" i="1"/>
  <c r="G408" i="1"/>
  <c r="F408" i="1"/>
  <c r="E408" i="1"/>
  <c r="G406" i="1"/>
  <c r="F406" i="1"/>
  <c r="E406" i="1"/>
  <c r="G404" i="1"/>
  <c r="F404" i="1"/>
  <c r="E404" i="1"/>
  <c r="G396" i="1"/>
  <c r="F396" i="1"/>
  <c r="E396" i="1"/>
  <c r="G367" i="1"/>
  <c r="F367" i="1"/>
  <c r="E367" i="1"/>
  <c r="G365" i="1"/>
  <c r="F365" i="1"/>
  <c r="E365" i="1"/>
  <c r="E360" i="1"/>
  <c r="G330" i="1"/>
  <c r="G329" i="1" s="1"/>
  <c r="F330" i="1"/>
  <c r="F329" i="1" s="1"/>
  <c r="E330" i="1"/>
  <c r="E329" i="1" s="1"/>
  <c r="G309" i="1"/>
  <c r="F309" i="1"/>
  <c r="E309" i="1"/>
  <c r="G307" i="1"/>
  <c r="F307" i="1"/>
  <c r="E307" i="1"/>
  <c r="G295" i="1"/>
  <c r="F295" i="1"/>
  <c r="E295" i="1"/>
  <c r="G291" i="1"/>
  <c r="F291" i="1"/>
  <c r="E291" i="1"/>
  <c r="G289" i="1"/>
  <c r="F289" i="1"/>
  <c r="E289" i="1"/>
  <c r="G271" i="1"/>
  <c r="F271" i="1"/>
  <c r="E271" i="1"/>
  <c r="G264" i="1"/>
  <c r="F264" i="1"/>
  <c r="E264" i="1"/>
  <c r="G259" i="1"/>
  <c r="F259" i="1"/>
  <c r="E259" i="1"/>
  <c r="G239" i="1"/>
  <c r="F239" i="1"/>
  <c r="E239" i="1"/>
  <c r="G237" i="1"/>
  <c r="F237" i="1"/>
  <c r="E237" i="1"/>
  <c r="G169" i="1"/>
  <c r="F169" i="1"/>
  <c r="E169" i="1"/>
  <c r="G167" i="1"/>
  <c r="F167" i="1"/>
  <c r="E167" i="1"/>
  <c r="G165" i="1"/>
  <c r="F165" i="1"/>
  <c r="E165" i="1"/>
  <c r="E164" i="1" l="1"/>
  <c r="E163" i="1" s="1"/>
  <c r="F164" i="1"/>
  <c r="F163" i="1" s="1"/>
  <c r="G164" i="1"/>
  <c r="G163" i="1" s="1"/>
  <c r="F359" i="1"/>
  <c r="G359" i="1"/>
  <c r="E359" i="1"/>
  <c r="E358" i="1" s="1"/>
  <c r="E353" i="1" s="1"/>
  <c r="E349" i="1" s="1"/>
  <c r="G236" i="1"/>
  <c r="G235" i="1" s="1"/>
  <c r="F236" i="1"/>
  <c r="F235" i="1" s="1"/>
  <c r="E236" i="1"/>
  <c r="E235" i="1" s="1"/>
  <c r="E288" i="1"/>
  <c r="E287" i="1" s="1"/>
  <c r="E286" i="1" s="1"/>
  <c r="G512" i="1"/>
  <c r="G503" i="1" s="1"/>
  <c r="G499" i="1" s="1"/>
  <c r="F512" i="1"/>
  <c r="F503" i="1" s="1"/>
  <c r="F499" i="1" s="1"/>
  <c r="F328" i="1"/>
  <c r="F327" i="1" s="1"/>
  <c r="F312" i="1" s="1"/>
  <c r="G328" i="1"/>
  <c r="G327" i="1" s="1"/>
  <c r="G312" i="1" s="1"/>
  <c r="E512" i="1"/>
  <c r="E503" i="1" s="1"/>
  <c r="E499" i="1" s="1"/>
  <c r="F306" i="1"/>
  <c r="F298" i="1" s="1"/>
  <c r="F297" i="1" s="1"/>
  <c r="G306" i="1"/>
  <c r="G298" i="1" s="1"/>
  <c r="G297" i="1" s="1"/>
  <c r="F288" i="1"/>
  <c r="F287" i="1" s="1"/>
  <c r="F286" i="1" s="1"/>
  <c r="E306" i="1"/>
  <c r="E298" i="1" s="1"/>
  <c r="E297" i="1" s="1"/>
  <c r="G288" i="1"/>
  <c r="G287" i="1" s="1"/>
  <c r="G286" i="1" s="1"/>
  <c r="E158" i="1" l="1"/>
  <c r="E157" i="1" s="1"/>
  <c r="G158" i="1"/>
  <c r="G157" i="1" s="1"/>
  <c r="F158" i="1"/>
  <c r="F157" i="1" s="1"/>
  <c r="E285" i="1"/>
  <c r="G174" i="1"/>
  <c r="G173" i="1" s="1"/>
  <c r="F174" i="1"/>
  <c r="F173" i="1" s="1"/>
  <c r="E174" i="1"/>
  <c r="E173" i="1" s="1"/>
  <c r="F358" i="1"/>
  <c r="F353" i="1" s="1"/>
  <c r="G358" i="1"/>
  <c r="G353" i="1" s="1"/>
  <c r="F285" i="1"/>
  <c r="G285" i="1"/>
  <c r="E146" i="1" l="1"/>
  <c r="F146" i="1"/>
  <c r="G146" i="1"/>
  <c r="F349" i="1" l="1"/>
  <c r="F311" i="1" s="1"/>
  <c r="G349" i="1"/>
  <c r="G311" i="1" s="1"/>
  <c r="G887" i="1"/>
  <c r="F887" i="1"/>
  <c r="E887" i="1"/>
  <c r="G884" i="1"/>
  <c r="F884" i="1"/>
  <c r="E884" i="1"/>
  <c r="G881" i="1"/>
  <c r="F881" i="1"/>
  <c r="E881" i="1"/>
  <c r="G876" i="1"/>
  <c r="G875" i="1" s="1"/>
  <c r="F876" i="1"/>
  <c r="F875" i="1" s="1"/>
  <c r="E876" i="1"/>
  <c r="E875" i="1" s="1"/>
  <c r="G929" i="1"/>
  <c r="G926" i="1" s="1"/>
  <c r="F929" i="1"/>
  <c r="F926" i="1" s="1"/>
  <c r="E929" i="1"/>
  <c r="E926" i="1" s="1"/>
  <c r="G924" i="1"/>
  <c r="G923" i="1" s="1"/>
  <c r="F924" i="1"/>
  <c r="F923" i="1" s="1"/>
  <c r="E924" i="1"/>
  <c r="E923" i="1" s="1"/>
  <c r="G786" i="1"/>
  <c r="F786" i="1"/>
  <c r="G784" i="1"/>
  <c r="F784" i="1"/>
  <c r="G775" i="1"/>
  <c r="F775" i="1"/>
  <c r="E775" i="1"/>
  <c r="G773" i="1"/>
  <c r="F773" i="1"/>
  <c r="E773" i="1"/>
  <c r="G769" i="1"/>
  <c r="F769" i="1"/>
  <c r="E769" i="1"/>
  <c r="G767" i="1"/>
  <c r="F767" i="1"/>
  <c r="E767" i="1"/>
  <c r="G762" i="1"/>
  <c r="F762" i="1"/>
  <c r="E762" i="1"/>
  <c r="G760" i="1"/>
  <c r="F760" i="1"/>
  <c r="E760" i="1"/>
  <c r="E751" i="1"/>
  <c r="G751" i="1"/>
  <c r="F751" i="1"/>
  <c r="G748" i="1"/>
  <c r="F748" i="1"/>
  <c r="E748" i="1"/>
  <c r="G746" i="1"/>
  <c r="F746" i="1"/>
  <c r="E746" i="1"/>
  <c r="G722" i="1"/>
  <c r="G721" i="1" s="1"/>
  <c r="G720" i="1" s="1"/>
  <c r="G719" i="1" s="1"/>
  <c r="F722" i="1"/>
  <c r="F721" i="1" s="1"/>
  <c r="F720" i="1" s="1"/>
  <c r="F719" i="1" s="1"/>
  <c r="E722" i="1"/>
  <c r="E721" i="1" s="1"/>
  <c r="E720" i="1" s="1"/>
  <c r="E719" i="1" s="1"/>
  <c r="G714" i="1"/>
  <c r="F714" i="1"/>
  <c r="E714" i="1"/>
  <c r="G711" i="1"/>
  <c r="F711" i="1"/>
  <c r="E711" i="1"/>
  <c r="G709" i="1"/>
  <c r="F709" i="1"/>
  <c r="E709" i="1"/>
  <c r="G699" i="1"/>
  <c r="F699" i="1"/>
  <c r="E699" i="1"/>
  <c r="G697" i="1"/>
  <c r="F697" i="1"/>
  <c r="E697" i="1"/>
  <c r="G695" i="1"/>
  <c r="F695" i="1"/>
  <c r="E695" i="1"/>
  <c r="G691" i="1"/>
  <c r="F691" i="1"/>
  <c r="E691" i="1"/>
  <c r="G684" i="1"/>
  <c r="F684" i="1"/>
  <c r="E684" i="1"/>
  <c r="G682" i="1"/>
  <c r="F682" i="1"/>
  <c r="G680" i="1"/>
  <c r="F680" i="1"/>
  <c r="E680" i="1"/>
  <c r="G678" i="1"/>
  <c r="F678" i="1"/>
  <c r="E678" i="1"/>
  <c r="G674" i="1"/>
  <c r="F674" i="1"/>
  <c r="E674" i="1"/>
  <c r="G670" i="1"/>
  <c r="F670" i="1"/>
  <c r="E670" i="1"/>
  <c r="G668" i="1"/>
  <c r="F668" i="1"/>
  <c r="E668" i="1"/>
  <c r="E666" i="1"/>
  <c r="G666" i="1"/>
  <c r="F666" i="1"/>
  <c r="G664" i="1"/>
  <c r="F664" i="1"/>
  <c r="E664" i="1"/>
  <c r="G634" i="1"/>
  <c r="G631" i="1" s="1"/>
  <c r="F634" i="1"/>
  <c r="F631" i="1" s="1"/>
  <c r="E634" i="1"/>
  <c r="E631" i="1" s="1"/>
  <c r="G629" i="1"/>
  <c r="F629" i="1"/>
  <c r="E629" i="1"/>
  <c r="G626" i="1"/>
  <c r="F626" i="1"/>
  <c r="E626" i="1"/>
  <c r="G624" i="1"/>
  <c r="F624" i="1"/>
  <c r="E624" i="1"/>
  <c r="E618" i="1"/>
  <c r="E617" i="1" s="1"/>
  <c r="E616" i="1" s="1"/>
  <c r="G618" i="1"/>
  <c r="G617" i="1" s="1"/>
  <c r="G616" i="1" s="1"/>
  <c r="F618" i="1"/>
  <c r="F617" i="1" s="1"/>
  <c r="F616" i="1" s="1"/>
  <c r="G940" i="1"/>
  <c r="F940" i="1"/>
  <c r="E940" i="1"/>
  <c r="G938" i="1"/>
  <c r="F938" i="1"/>
  <c r="E938" i="1"/>
  <c r="G918" i="1"/>
  <c r="F918" i="1"/>
  <c r="E918" i="1"/>
  <c r="G916" i="1"/>
  <c r="F916" i="1"/>
  <c r="E916" i="1"/>
  <c r="G904" i="1"/>
  <c r="G903" i="1" s="1"/>
  <c r="G899" i="1" s="1"/>
  <c r="F904" i="1"/>
  <c r="F903" i="1" s="1"/>
  <c r="F899" i="1" s="1"/>
  <c r="E904" i="1"/>
  <c r="E903" i="1" s="1"/>
  <c r="E899" i="1" s="1"/>
  <c r="G895" i="1"/>
  <c r="G894" i="1" s="1"/>
  <c r="G893" i="1" s="1"/>
  <c r="G892" i="1" s="1"/>
  <c r="F895" i="1"/>
  <c r="F894" i="1" s="1"/>
  <c r="F893" i="1" s="1"/>
  <c r="F892" i="1" s="1"/>
  <c r="E895" i="1"/>
  <c r="E894" i="1" s="1"/>
  <c r="E893" i="1" s="1"/>
  <c r="E892" i="1" s="1"/>
  <c r="E891" i="1" s="1"/>
  <c r="E754" i="1" l="1"/>
  <c r="F754" i="1"/>
  <c r="G754" i="1"/>
  <c r="E661" i="1"/>
  <c r="E922" i="1"/>
  <c r="E921" i="1" s="1"/>
  <c r="E772" i="1"/>
  <c r="E745" i="1"/>
  <c r="G745" i="1"/>
  <c r="F745" i="1"/>
  <c r="F661" i="1"/>
  <c r="G661" i="1"/>
  <c r="F772" i="1"/>
  <c r="G772" i="1"/>
  <c r="E690" i="1"/>
  <c r="G915" i="1"/>
  <c r="G914" i="1" s="1"/>
  <c r="G898" i="1" s="1"/>
  <c r="G897" i="1" s="1"/>
  <c r="F915" i="1"/>
  <c r="F914" i="1" s="1"/>
  <c r="F898" i="1" s="1"/>
  <c r="F897" i="1" s="1"/>
  <c r="E937" i="1"/>
  <c r="E936" i="1" s="1"/>
  <c r="E931" i="1" s="1"/>
  <c r="F937" i="1"/>
  <c r="F936" i="1" s="1"/>
  <c r="F931" i="1" s="1"/>
  <c r="G937" i="1"/>
  <c r="G936" i="1" s="1"/>
  <c r="G931" i="1" s="1"/>
  <c r="G880" i="1"/>
  <c r="G874" i="1" s="1"/>
  <c r="G873" i="1" s="1"/>
  <c r="G859" i="1" s="1"/>
  <c r="F922" i="1"/>
  <c r="F921" i="1" s="1"/>
  <c r="E880" i="1"/>
  <c r="E874" i="1" s="1"/>
  <c r="E873" i="1" s="1"/>
  <c r="E859" i="1" s="1"/>
  <c r="F880" i="1"/>
  <c r="F874" i="1" s="1"/>
  <c r="F873" i="1" s="1"/>
  <c r="F859" i="1" s="1"/>
  <c r="G922" i="1"/>
  <c r="G921" i="1" s="1"/>
  <c r="G780" i="1"/>
  <c r="F780" i="1"/>
  <c r="G790" i="1"/>
  <c r="F790" i="1"/>
  <c r="E790" i="1"/>
  <c r="E708" i="1"/>
  <c r="F690" i="1"/>
  <c r="F708" i="1"/>
  <c r="G690" i="1"/>
  <c r="E623" i="1"/>
  <c r="E622" i="1" s="1"/>
  <c r="E615" i="1" s="1"/>
  <c r="E614" i="1" s="1"/>
  <c r="G623" i="1"/>
  <c r="G622" i="1" s="1"/>
  <c r="G615" i="1" s="1"/>
  <c r="F623" i="1"/>
  <c r="F622" i="1" s="1"/>
  <c r="G708" i="1"/>
  <c r="E915" i="1"/>
  <c r="E914" i="1" s="1"/>
  <c r="E898" i="1" s="1"/>
  <c r="E897" i="1" s="1"/>
  <c r="F891" i="1"/>
  <c r="G891" i="1"/>
  <c r="E707" i="1" l="1"/>
  <c r="E702" i="1" s="1"/>
  <c r="E701" i="1" s="1"/>
  <c r="G707" i="1"/>
  <c r="F707" i="1"/>
  <c r="E779" i="1"/>
  <c r="E744" i="1" s="1"/>
  <c r="E743" i="1" s="1"/>
  <c r="E742" i="1" s="1"/>
  <c r="F615" i="1"/>
  <c r="F614" i="1" s="1"/>
  <c r="G614" i="1"/>
  <c r="E920" i="1"/>
  <c r="E890" i="1" s="1"/>
  <c r="G920" i="1"/>
  <c r="G890" i="1" s="1"/>
  <c r="F920" i="1"/>
  <c r="F890" i="1" s="1"/>
  <c r="G779" i="1"/>
  <c r="G744" i="1" s="1"/>
  <c r="G743" i="1" s="1"/>
  <c r="G742" i="1" s="1"/>
  <c r="F779" i="1"/>
  <c r="F744" i="1" s="1"/>
  <c r="F743" i="1" s="1"/>
  <c r="F742" i="1" s="1"/>
  <c r="G660" i="1"/>
  <c r="G637" i="1" s="1"/>
  <c r="E660" i="1"/>
  <c r="E637" i="1" s="1"/>
  <c r="F660" i="1"/>
  <c r="F637" i="1" s="1"/>
  <c r="F702" i="1" l="1"/>
  <c r="F701" i="1" s="1"/>
  <c r="G702" i="1"/>
  <c r="G701" i="1" s="1"/>
  <c r="F636" i="1"/>
  <c r="E636" i="1"/>
  <c r="G636" i="1"/>
  <c r="G950" i="1"/>
  <c r="G949" i="1" s="1"/>
  <c r="G948" i="1" s="1"/>
  <c r="G947" i="1" s="1"/>
  <c r="F950" i="1"/>
  <c r="F949" i="1" s="1"/>
  <c r="F948" i="1" s="1"/>
  <c r="F947" i="1" s="1"/>
  <c r="E950" i="1"/>
  <c r="E949" i="1" s="1"/>
  <c r="E948" i="1" s="1"/>
  <c r="E947" i="1" s="1"/>
  <c r="G848" i="1"/>
  <c r="F848" i="1"/>
  <c r="E848" i="1"/>
  <c r="G846" i="1"/>
  <c r="F846" i="1"/>
  <c r="E846" i="1"/>
  <c r="G842" i="1"/>
  <c r="G841" i="1" s="1"/>
  <c r="G840" i="1" s="1"/>
  <c r="F842" i="1"/>
  <c r="F841" i="1" s="1"/>
  <c r="F840" i="1" s="1"/>
  <c r="E842" i="1"/>
  <c r="E841" i="1" s="1"/>
  <c r="E840" i="1" s="1"/>
  <c r="G740" i="1"/>
  <c r="F740" i="1"/>
  <c r="E740" i="1"/>
  <c r="G738" i="1"/>
  <c r="F738" i="1"/>
  <c r="E738" i="1"/>
  <c r="G736" i="1"/>
  <c r="F736" i="1"/>
  <c r="E736" i="1"/>
  <c r="G732" i="1"/>
  <c r="G731" i="1" s="1"/>
  <c r="G730" i="1" s="1"/>
  <c r="F732" i="1"/>
  <c r="F731" i="1" s="1"/>
  <c r="F730" i="1" s="1"/>
  <c r="E732" i="1"/>
  <c r="E731" i="1" s="1"/>
  <c r="E730" i="1" s="1"/>
  <c r="E845" i="1" l="1"/>
  <c r="E844" i="1" s="1"/>
  <c r="E839" i="1" s="1"/>
  <c r="F845" i="1"/>
  <c r="F844" i="1" s="1"/>
  <c r="F839" i="1" s="1"/>
  <c r="G845" i="1"/>
  <c r="G844" i="1" s="1"/>
  <c r="G839" i="1" s="1"/>
  <c r="E735" i="1"/>
  <c r="E734" i="1" s="1"/>
  <c r="F735" i="1"/>
  <c r="F734" i="1" s="1"/>
  <c r="F725" i="1" s="1"/>
  <c r="G735" i="1"/>
  <c r="G734" i="1" s="1"/>
  <c r="G725" i="1" l="1"/>
  <c r="G724" i="1" s="1"/>
  <c r="G613" i="1" s="1"/>
  <c r="F724" i="1"/>
  <c r="F613" i="1" s="1"/>
  <c r="E725" i="1"/>
  <c r="E724" i="1" s="1"/>
  <c r="E613" i="1" s="1"/>
  <c r="G834" i="1"/>
  <c r="F834" i="1"/>
  <c r="E834" i="1"/>
  <c r="G831" i="1"/>
  <c r="F831" i="1"/>
  <c r="E831" i="1"/>
  <c r="G829" i="1"/>
  <c r="F829" i="1"/>
  <c r="E829" i="1"/>
  <c r="G826" i="1"/>
  <c r="F826" i="1"/>
  <c r="E826" i="1"/>
  <c r="G823" i="1"/>
  <c r="F823" i="1"/>
  <c r="E823" i="1"/>
  <c r="G819" i="1"/>
  <c r="G818" i="1" s="1"/>
  <c r="G817" i="1" s="1"/>
  <c r="F819" i="1"/>
  <c r="F818" i="1" s="1"/>
  <c r="F817" i="1" s="1"/>
  <c r="E819" i="1"/>
  <c r="E818" i="1" s="1"/>
  <c r="E817" i="1" s="1"/>
  <c r="E813" i="1"/>
  <c r="E812" i="1" s="1"/>
  <c r="G813" i="1"/>
  <c r="G812" i="1" s="1"/>
  <c r="G811" i="1" s="1"/>
  <c r="G795" i="1" s="1"/>
  <c r="F813" i="1"/>
  <c r="F812" i="1" s="1"/>
  <c r="F811" i="1" s="1"/>
  <c r="F795" i="1" s="1"/>
  <c r="G138" i="1"/>
  <c r="F138" i="1"/>
  <c r="E138" i="1"/>
  <c r="G136" i="1"/>
  <c r="F136" i="1"/>
  <c r="E136" i="1"/>
  <c r="G132" i="1"/>
  <c r="G131" i="1" s="1"/>
  <c r="G130" i="1" s="1"/>
  <c r="F132" i="1"/>
  <c r="F131" i="1" s="1"/>
  <c r="F130" i="1" s="1"/>
  <c r="E132" i="1"/>
  <c r="E131" i="1" s="1"/>
  <c r="E130" i="1" s="1"/>
  <c r="F794" i="1" l="1"/>
  <c r="G794" i="1"/>
  <c r="E811" i="1"/>
  <c r="E795" i="1" s="1"/>
  <c r="F828" i="1"/>
  <c r="E822" i="1"/>
  <c r="G140" i="1"/>
  <c r="F140" i="1"/>
  <c r="F135" i="1" s="1"/>
  <c r="E140" i="1"/>
  <c r="G822" i="1"/>
  <c r="F833" i="1"/>
  <c r="F822" i="1"/>
  <c r="E833" i="1"/>
  <c r="G828" i="1"/>
  <c r="G833" i="1"/>
  <c r="E828" i="1"/>
  <c r="F134" i="1" l="1"/>
  <c r="F129" i="1" s="1"/>
  <c r="F126" i="1" s="1"/>
  <c r="F125" i="1" s="1"/>
  <c r="F124" i="1" s="1"/>
  <c r="G135" i="1"/>
  <c r="G134" i="1" s="1"/>
  <c r="G129" i="1" s="1"/>
  <c r="G126" i="1" s="1"/>
  <c r="G125" i="1" s="1"/>
  <c r="G124" i="1" s="1"/>
  <c r="E135" i="1"/>
  <c r="E134" i="1" s="1"/>
  <c r="E129" i="1" s="1"/>
  <c r="E126" i="1" s="1"/>
  <c r="E125" i="1" s="1"/>
  <c r="E124" i="1" s="1"/>
  <c r="E794" i="1"/>
  <c r="E821" i="1"/>
  <c r="E816" i="1" s="1"/>
  <c r="F821" i="1"/>
  <c r="F816" i="1" s="1"/>
  <c r="F815" i="1" s="1"/>
  <c r="F793" i="1" s="1"/>
  <c r="G821" i="1"/>
  <c r="G816" i="1" s="1"/>
  <c r="G815" i="1" s="1"/>
  <c r="G793" i="1" s="1"/>
  <c r="E815" i="1" l="1"/>
  <c r="E793" i="1" s="1"/>
  <c r="E31" i="1"/>
  <c r="F92" i="1" l="1"/>
  <c r="G92" i="1"/>
  <c r="E92" i="1"/>
  <c r="G71" i="1"/>
  <c r="F71" i="1"/>
  <c r="E71" i="1"/>
  <c r="F82" i="1"/>
  <c r="G82" i="1"/>
  <c r="G49" i="1"/>
  <c r="G48" i="1" s="1"/>
  <c r="G47" i="1" s="1"/>
  <c r="F49" i="1"/>
  <c r="F48" i="1" s="1"/>
  <c r="F47" i="1" s="1"/>
  <c r="E49" i="1"/>
  <c r="E48" i="1" s="1"/>
  <c r="E47" i="1" s="1"/>
  <c r="F44" i="1"/>
  <c r="E44" i="1"/>
  <c r="G41" i="1"/>
  <c r="F41" i="1"/>
  <c r="E41" i="1"/>
  <c r="G39" i="1"/>
  <c r="F39" i="1"/>
  <c r="E39" i="1"/>
  <c r="G37" i="1"/>
  <c r="F37" i="1"/>
  <c r="E37" i="1"/>
  <c r="G31" i="1"/>
  <c r="F31" i="1"/>
  <c r="G14" i="1"/>
  <c r="G13" i="1" s="1"/>
  <c r="G12" i="1" s="1"/>
  <c r="F14" i="1"/>
  <c r="F13" i="1" s="1"/>
  <c r="F12" i="1" s="1"/>
  <c r="E14" i="1"/>
  <c r="E13" i="1" s="1"/>
  <c r="E12" i="1" s="1"/>
  <c r="G90" i="1"/>
  <c r="F90" i="1"/>
  <c r="E90" i="1"/>
  <c r="G27" i="1"/>
  <c r="F27" i="1"/>
  <c r="E27" i="1"/>
  <c r="G24" i="1"/>
  <c r="F24" i="1"/>
  <c r="E24" i="1"/>
  <c r="G22" i="1"/>
  <c r="F22" i="1"/>
  <c r="E22" i="1"/>
  <c r="G20" i="1"/>
  <c r="F20" i="1"/>
  <c r="E20" i="1"/>
  <c r="G18" i="1"/>
  <c r="F18" i="1"/>
  <c r="E18" i="1"/>
  <c r="E70" i="1" l="1"/>
  <c r="E69" i="1" s="1"/>
  <c r="G70" i="1"/>
  <c r="F70" i="1"/>
  <c r="E36" i="1"/>
  <c r="E30" i="1" s="1"/>
  <c r="E17" i="1"/>
  <c r="E16" i="1" s="1"/>
  <c r="G55" i="1"/>
  <c r="G54" i="1" s="1"/>
  <c r="G53" i="1" s="1"/>
  <c r="F55" i="1"/>
  <c r="F54" i="1" s="1"/>
  <c r="F53" i="1" s="1"/>
  <c r="E55" i="1"/>
  <c r="E54" i="1" s="1"/>
  <c r="E53" i="1" s="1"/>
  <c r="G36" i="1"/>
  <c r="G30" i="1" s="1"/>
  <c r="G29" i="1" s="1"/>
  <c r="F36" i="1"/>
  <c r="F30" i="1" s="1"/>
  <c r="F29" i="1" s="1"/>
  <c r="G17" i="1"/>
  <c r="G16" i="1" s="1"/>
  <c r="F17" i="1"/>
  <c r="F16" i="1" s="1"/>
  <c r="E328" i="1" l="1"/>
  <c r="E327" i="1" s="1"/>
  <c r="E29" i="1"/>
  <c r="E11" i="1" s="1"/>
  <c r="G69" i="1"/>
  <c r="G11" i="1" s="1"/>
  <c r="G953" i="1" s="1"/>
  <c r="F69" i="1"/>
  <c r="F11" i="1" s="1"/>
  <c r="F953" i="1" s="1"/>
  <c r="E312" i="1" l="1"/>
  <c r="E311" i="1" s="1"/>
  <c r="E953" i="1" s="1"/>
</calcChain>
</file>

<file path=xl/sharedStrings.xml><?xml version="1.0" encoding="utf-8"?>
<sst xmlns="http://schemas.openxmlformats.org/spreadsheetml/2006/main" count="2982" uniqueCount="877">
  <si>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</si>
  <si>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</si>
  <si>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</si>
  <si>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</si>
  <si>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</si>
  <si>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</si>
  <si>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</si>
  <si>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</si>
  <si>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</si>
  <si>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</si>
  <si>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</si>
  <si>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</si>
  <si>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</si>
  <si>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</si>
  <si>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</si>
  <si>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</si>
  <si>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</si>
  <si>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</si>
  <si>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</si>
  <si>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</si>
  <si>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</si>
  <si>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</si>
  <si>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</si>
  <si>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</si>
  <si>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</si>
  <si>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</si>
  <si>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</si>
  <si>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</si>
  <si>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</si>
  <si>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</si>
  <si>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</si>
  <si>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</si>
  <si>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</si>
  <si>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</si>
  <si>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</si>
  <si>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</si>
  <si>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</si>
  <si>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</si>
  <si>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</si>
  <si>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</si>
  <si>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</si>
  <si>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</si>
  <si>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</si>
  <si>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</si>
  <si>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</si>
  <si>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</si>
  <si>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</si>
  <si>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</si>
  <si>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</si>
  <si>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</si>
  <si>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</si>
  <si>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</si>
  <si>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</si>
  <si>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</si>
  <si>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</si>
  <si>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</si>
  <si>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</si>
  <si>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</si>
  <si>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</si>
  <si>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</si>
  <si>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</si>
  <si>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</si>
  <si>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</si>
  <si>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</si>
  <si>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</si>
  <si>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</si>
  <si>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</si>
  <si>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</si>
  <si>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</si>
  <si>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</si>
  <si>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</si>
  <si>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</si>
  <si>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</si>
  <si>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</si>
  <si>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</si>
  <si>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</si>
  <si>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</si>
  <si>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</si>
  <si>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</si>
  <si>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</si>
  <si>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</si>
  <si>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</si>
  <si>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</si>
  <si>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</si>
  <si>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</si>
  <si>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</si>
  <si>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</si>
  <si>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</si>
  <si>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</si>
  <si>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</si>
  <si>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</si>
  <si>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</si>
  <si>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</si>
  <si>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</si>
  <si>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</si>
  <si>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</si>
  <si>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</si>
  <si>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</si>
  <si>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</si>
  <si>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</si>
  <si>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</si>
  <si>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</si>
  <si>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</si>
  <si>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</si>
  <si>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</si>
  <si>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</si>
  <si>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</si>
  <si>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</si>
  <si>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</si>
  <si>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</si>
  <si>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</si>
  <si>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</si>
  <si>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</si>
  <si>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</si>
  <si>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</si>
  <si>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</si>
  <si>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</si>
  <si>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</si>
  <si>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</si>
  <si>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</si>
  <si>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</si>
  <si>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</si>
  <si>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</si>
  <si>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</si>
  <si>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</si>
  <si>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</si>
  <si>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</si>
  <si>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</si>
  <si>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</si>
  <si>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</si>
  <si>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</si>
  <si>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</si>
  <si>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</si>
  <si>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</si>
  <si>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</si>
  <si>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</si>
  <si>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</si>
  <si>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</si>
  <si>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</si>
  <si>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</si>
  <si>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</si>
  <si>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</si>
  <si>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</si>
  <si>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</si>
  <si>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</si>
  <si>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</si>
  <si>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</si>
  <si>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</si>
  <si>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</si>
  <si>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</si>
  <si>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</si>
  <si>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</si>
  <si>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</si>
  <si>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</si>
  <si>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</si>
  <si>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</si>
  <si>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</si>
  <si>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</si>
  <si>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</si>
  <si>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</si>
  <si>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</si>
  <si>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</si>
  <si>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</si>
  <si>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</si>
  <si>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</si>
  <si>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</si>
  <si>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</si>
  <si>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</si>
  <si>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</si>
  <si>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</si>
  <si>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</si>
  <si>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</si>
  <si>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</si>
  <si>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</si>
  <si>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</si>
  <si>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</si>
  <si>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</si>
  <si>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</si>
  <si>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</si>
  <si>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</si>
  <si>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</si>
  <si>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</si>
  <si>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</si>
  <si>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</si>
  <si>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</si>
  <si>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</si>
  <si>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</si>
  <si>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</si>
  <si>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</si>
  <si>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</si>
  <si>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</si>
  <si>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</si>
  <si>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</si>
  <si>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</si>
  <si>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</si>
  <si>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</si>
  <si>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</si>
  <si>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</si>
  <si>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</si>
  <si>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</si>
  <si>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</si>
  <si>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</si>
  <si>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</si>
  <si>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</si>
  <si>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</si>
  <si>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</si>
  <si>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</si>
  <si>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</si>
  <si>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</si>
  <si>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</si>
  <si>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</si>
  <si>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</si>
  <si>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</si>
  <si>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</si>
  <si>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</si>
  <si>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</si>
  <si>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</si>
  <si>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</si>
  <si>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</si>
  <si>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</si>
  <si>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</si>
  <si>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</si>
  <si>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</si>
  <si>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</si>
  <si>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</si>
  <si>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</si>
  <si>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</si>
  <si>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</si>
  <si>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</si>
  <si>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</si>
  <si>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</si>
  <si>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</si>
  <si>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</si>
  <si>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</si>
  <si>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</si>
  <si>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</si>
  <si>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</si>
  <si>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</si>
  <si>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</si>
  <si>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</si>
  <si>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</si>
  <si>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</si>
  <si>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</si>
  <si>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</si>
  <si>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</si>
  <si>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</si>
  <si>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</si>
  <si>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</si>
  <si>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</si>
  <si>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</si>
  <si>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</si>
  <si>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</si>
  <si>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</si>
  <si>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</si>
  <si>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</si>
  <si>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</si>
  <si>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</si>
  <si>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</si>
  <si>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</si>
  <si>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</si>
  <si>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</si>
  <si>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</si>
  <si>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</si>
  <si>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</si>
  <si>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</si>
  <si>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</si>
  <si>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</si>
  <si>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</si>
  <si>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</si>
  <si>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</si>
  <si>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</si>
  <si>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</si>
  <si>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</si>
  <si>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</si>
  <si>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</si>
  <si>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</si>
  <si>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</si>
  <si>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</si>
  <si>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</si>
  <si>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</si>
  <si>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</si>
  <si>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</si>
  <si>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</si>
  <si>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</si>
  <si>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</si>
  <si>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</si>
  <si>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</si>
  <si>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</si>
  <si>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</si>
  <si>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</si>
  <si>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</si>
  <si>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</si>
  <si>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</si>
  <si>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</si>
  <si>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</si>
  <si>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</si>
  <si>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</si>
  <si>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</si>
  <si>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</si>
  <si>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</si>
  <si>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</si>
  <si>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</si>
  <si>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</si>
  <si>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</si>
  <si>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</si>
  <si>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</si>
  <si>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</si>
  <si>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</si>
  <si>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</si>
  <si>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</si>
  <si>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</si>
  <si>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</si>
  <si>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</si>
  <si>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</si>
  <si>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</si>
  <si>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</si>
  <si>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</si>
  <si>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</si>
  <si>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</si>
  <si>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</si>
  <si>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</si>
  <si>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</si>
  <si>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</si>
  <si>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</si>
  <si>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</si>
  <si>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</si>
  <si>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</si>
  <si>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</si>
  <si>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</si>
  <si>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</si>
  <si>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</si>
  <si>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</si>
  <si>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</si>
  <si>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</si>
  <si>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</si>
  <si>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</si>
  <si>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</si>
  <si>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</si>
  <si>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</si>
  <si>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</si>
  <si>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</si>
  <si>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</si>
  <si>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</si>
  <si>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</si>
  <si>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</si>
  <si>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</si>
  <si>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</si>
  <si>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</si>
  <si>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</si>
  <si>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</si>
  <si>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</si>
  <si>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</si>
  <si>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</si>
  <si>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</si>
  <si>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</si>
  <si>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</si>
  <si>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</si>
  <si>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</si>
  <si>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</si>
  <si>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</si>
  <si>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</si>
  <si>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</si>
  <si>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</si>
  <si>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</si>
  <si>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</si>
  <si>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</si>
  <si>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</si>
  <si>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</si>
  <si>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</si>
  <si>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</si>
  <si>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</si>
  <si>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</si>
  <si>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</si>
  <si>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</si>
  <si>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</si>
  <si>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</si>
  <si>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</si>
  <si>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</si>
  <si>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</si>
  <si>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</si>
  <si>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</si>
  <si>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</si>
  <si>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</si>
  <si>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</si>
  <si>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</si>
  <si>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</si>
  <si>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</si>
  <si>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</si>
  <si>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</si>
  <si>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</si>
  <si>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</si>
  <si>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</si>
  <si>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</si>
  <si>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</si>
  <si>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</si>
  <si>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</si>
  <si>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</si>
  <si>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</si>
  <si>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</si>
  <si>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</si>
  <si>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</si>
  <si>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</si>
  <si>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</si>
  <si>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</si>
  <si>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</si>
  <si>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</si>
  <si>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</si>
  <si>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</si>
  <si>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</si>
  <si>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</si>
  <si>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</si>
  <si>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</si>
  <si>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</si>
  <si>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</si>
  <si>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</si>
  <si>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</si>
  <si>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</si>
  <si>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</si>
  <si>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</si>
  <si>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</si>
  <si>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</si>
  <si>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</si>
  <si>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</si>
  <si>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</si>
  <si>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</si>
  <si>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</si>
  <si>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</si>
  <si>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</si>
  <si>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</si>
  <si>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</si>
  <si>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</si>
  <si>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</si>
  <si>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</si>
  <si>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</si>
  <si>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</si>
  <si>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</si>
  <si>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</si>
  <si>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</si>
  <si>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</si>
  <si>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</si>
  <si>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</si>
  <si>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</si>
  <si>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</si>
  <si>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</si>
  <si>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</si>
  <si>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</si>
  <si>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</si>
  <si>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</si>
  <si>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</si>
  <si>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</si>
  <si>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</si>
  <si>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</si>
  <si>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</si>
  <si>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</si>
  <si>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</si>
  <si>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</si>
  <si>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</si>
  <si>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</si>
  <si>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</si>
  <si>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</si>
  <si>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</si>
  <si>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</si>
  <si>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</si>
  <si>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</si>
  <si>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</si>
  <si>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</si>
  <si>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</si>
  <si>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</si>
  <si>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</si>
  <si>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</si>
  <si>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</si>
  <si>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</si>
  <si>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</si>
  <si>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</si>
  <si>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</si>
  <si>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</si>
  <si>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</si>
  <si>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</si>
  <si>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</si>
  <si>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</si>
  <si>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</si>
  <si>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</si>
  <si>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</si>
  <si>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</si>
  <si>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</si>
  <si>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</si>
  <si>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</si>
  <si>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</si>
  <si>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</si>
  <si>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</si>
  <si>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</si>
  <si>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</si>
  <si>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</si>
  <si>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</si>
  <si>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</si>
  <si>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</si>
  <si>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</si>
  <si>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</si>
  <si>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</si>
  <si>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</si>
  <si>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</si>
  <si>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</si>
  <si>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</si>
  <si>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</si>
  <si>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</si>
  <si>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</si>
  <si>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</si>
  <si>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</si>
  <si>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</si>
  <si>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</si>
  <si>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</si>
  <si>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</si>
  <si>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</si>
  <si>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</si>
  <si>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</si>
  <si>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</si>
  <si>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</si>
  <si>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</si>
  <si>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</si>
  <si>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</si>
  <si>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</si>
  <si>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</si>
  <si>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</si>
  <si>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</si>
  <si>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</si>
  <si>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</si>
  <si>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</si>
  <si>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</si>
  <si>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</si>
  <si>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</si>
  <si>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</si>
  <si>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</si>
  <si>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</si>
  <si>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</si>
  <si>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</si>
  <si>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</si>
  <si>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</si>
  <si>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</si>
  <si>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</si>
  <si>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</si>
  <si>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</si>
  <si>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</si>
  <si>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</si>
  <si>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</si>
  <si>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</si>
  <si>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</si>
  <si>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</si>
  <si>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</si>
  <si>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</si>
  <si>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</si>
  <si>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</si>
  <si>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</si>
  <si>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</si>
  <si>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</si>
  <si>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</si>
  <si>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</si>
  <si>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</si>
  <si>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</si>
  <si>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</si>
  <si>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</si>
  <si>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</si>
  <si>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</si>
  <si>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</si>
  <si>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</si>
  <si>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</si>
  <si>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</si>
  <si>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</si>
  <si>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</si>
  <si>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</si>
  <si>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</si>
  <si>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</si>
  <si>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</si>
  <si>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</si>
  <si>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</si>
  <si>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</si>
  <si>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</si>
  <si>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</si>
  <si>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S7405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</si>
  <si>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</si>
  <si>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</si>
  <si>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</si>
  <si>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</si>
  <si>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</si>
  <si>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</si>
  <si>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</si>
  <si>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</si>
  <si>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</si>
  <si>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</si>
  <si>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</si>
  <si>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</si>
  <si>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</si>
  <si>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</si>
  <si>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</si>
  <si>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</si>
  <si>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</si>
  <si>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</si>
  <si>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</si>
  <si>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</si>
  <si>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</si>
  <si>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</si>
  <si>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</si>
  <si>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</si>
  <si>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</si>
  <si>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</si>
  <si>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</si>
  <si>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</si>
  <si>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</si>
  <si>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</si>
  <si>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</si>
  <si>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</si>
  <si>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</si>
  <si>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</si>
  <si>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</si>
  <si>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</si>
  <si>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</si>
  <si>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</si>
  <si>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</si>
  <si>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</si>
  <si>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</si>
  <si>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</si>
  <si>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</si>
  <si>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</si>
  <si>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</si>
  <si>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</si>
  <si>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</si>
  <si>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</si>
  <si>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</si>
  <si>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</si>
  <si>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</si>
  <si>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</si>
  <si>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</si>
  <si>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</si>
  <si>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</si>
  <si>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</si>
  <si>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</si>
  <si>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</si>
  <si>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</si>
  <si>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</si>
  <si>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</si>
  <si>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</si>
  <si>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</si>
  <si>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</si>
  <si>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</si>
  <si>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</si>
  <si>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</si>
  <si>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</si>
  <si>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</si>
  <si>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</si>
  <si>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</si>
  <si>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</si>
  <si>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</si>
  <si>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</si>
  <si>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</si>
  <si>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</si>
  <si>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</si>
  <si>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</si>
  <si>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</si>
  <si>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</si>
  <si>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</si>
  <si>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</si>
  <si>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</si>
  <si>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</si>
  <si>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</si>
  <si>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</si>
  <si>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</si>
  <si>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</si>
  <si>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</si>
  <si>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</si>
  <si>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</si>
  <si>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</si>
  <si>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</si>
  <si>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</si>
  <si>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</si>
  <si>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</si>
  <si>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</si>
  <si>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</si>
  <si>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</si>
  <si>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</si>
  <si>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</si>
  <si>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</si>
  <si>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</si>
  <si>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</si>
  <si>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Б.Хмельницкого)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</si>
  <si>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</si>
  <si>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</si>
  <si>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</si>
  <si>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</si>
  <si>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</si>
  <si>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</si>
  <si>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</si>
  <si>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</si>
  <si>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</si>
  <si>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</si>
  <si>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</si>
  <si>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</si>
  <si>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</si>
  <si>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</si>
  <si>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</si>
  <si>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</si>
  <si>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</si>
  <si>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</si>
  <si>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</si>
  <si>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</si>
  <si>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</si>
  <si>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</si>
  <si>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</si>
  <si>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</si>
  <si>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</si>
  <si>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</si>
  <si>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</si>
  <si>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</si>
  <si>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</si>
  <si>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</si>
  <si>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</si>
  <si>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</si>
  <si>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</si>
  <si>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</si>
  <si>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Благоустройство территории военного госпиталя, расположенного по ул.Ленина, 172/4</t>
  </si>
  <si>
    <t>Установка игрового комплекса «Замок» на набережную р. Амур, берег 5 участок</t>
  </si>
  <si>
    <t>11 2 01 10784</t>
  </si>
  <si>
    <t>11 2 01 10786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</si>
  <si>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</si>
  <si>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</si>
  <si>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</si>
  <si>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</si>
  <si>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</si>
  <si>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</si>
  <si>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</si>
  <si>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</si>
  <si>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</si>
  <si>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</si>
  <si>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</si>
  <si>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</si>
  <si>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</si>
  <si>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</si>
  <si>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</si>
  <si>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</si>
  <si>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</si>
  <si>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</si>
  <si>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</si>
  <si>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</si>
  <si>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</si>
  <si>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Проектные и изыскательские работы по объекту капитального строительства: "Городской дом культуры на 400 мест в квартале 97, г. Благовещенск, Амурская область"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</si>
  <si>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</si>
  <si>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</si>
  <si>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</si>
  <si>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>02 2 01 9Д008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</si>
  <si>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</si>
  <si>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</si>
  <si>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</si>
  <si>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</si>
  <si>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02 1 И8 9Д11Н</t>
  </si>
  <si>
    <t>Обустройство сквера в районе ул. Калинина-ул.Ломоносова (устройство электроснабжения и видеонаблюдения)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</si>
  <si>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</si>
  <si>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</si>
  <si>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</si>
  <si>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</si>
  <si>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</si>
  <si>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</si>
  <si>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</si>
  <si>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</si>
  <si>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</si>
  <si>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</si>
  <si>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</si>
  <si>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</si>
  <si>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</si>
  <si>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</si>
  <si>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</si>
  <si>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</si>
  <si>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</si>
  <si>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</si>
  <si>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</si>
  <si>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</si>
  <si>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</si>
  <si>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</si>
  <si>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Разработка проектной документации для объектов сферы культуры</t>
  </si>
  <si>
    <t>05 2 03 40110</t>
  </si>
  <si>
    <t>05 2 03 40111</t>
  </si>
  <si>
    <t>Устройство наружного освещения                        с. Белогорье по ул. Заводская на участке (от Родника до ул. Заводская д. 7 (автобусная остановка)</t>
  </si>
  <si>
    <t>Приложение № 3
к решению Благовещенской 
городской Думы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</si>
  <si>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</si>
  <si>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Ремонт тротуаров улично-дорожной сети г. Благовещенска</t>
  </si>
  <si>
    <t>02 2 01 9Д009</t>
  </si>
  <si>
    <t>Проведение оценки рыночной стоимости оборудования на объекте "Реконструкция очисных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</si>
  <si>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</si>
  <si>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</si>
  <si>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03 2 01 10716</t>
  </si>
  <si>
    <t>03 2 01 10717</t>
  </si>
  <si>
    <t>03 2 01 10718</t>
  </si>
  <si>
    <t>Благоустройство общественной территории ул. Зейская – ул. Шевченко</t>
  </si>
  <si>
    <t>11 2 01 10788</t>
  </si>
  <si>
    <t>Выплата возмещения за изымаемые жилые помещения</t>
  </si>
  <si>
    <t>01 1 И2 67483</t>
  </si>
  <si>
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</si>
  <si>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г.Благовещенска</t>
  </si>
  <si>
    <t>04 3 02 10080</t>
  </si>
  <si>
    <t>04 3 02 10640</t>
  </si>
  <si>
    <t>Устройство подъемника в МКД для маломобильных групп населения</t>
  </si>
  <si>
    <t>03 2 02 10225</t>
  </si>
  <si>
    <t>01 1 И2 6748S</t>
  </si>
  <si>
    <t>Благоустройство площадок для дрессировки и выгула собак</t>
  </si>
  <si>
    <t>11 2 01 10789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</si>
  <si>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</si>
  <si>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</si>
  <si>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03 2 01 61055</t>
  </si>
  <si>
    <t>03 2 01 61058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</si>
  <si>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</si>
  <si>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</si>
  <si>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</si>
  <si>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S0661</t>
  </si>
  <si>
    <t>03 2 01 S0662</t>
  </si>
  <si>
    <t>03 2 01 S0663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</si>
  <si>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</si>
  <si>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</si>
  <si>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</si>
  <si>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</si>
  <si>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</si>
  <si>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</si>
  <si>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</si>
  <si>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</si>
  <si>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</si>
  <si>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(Замена теплотрассы и ГВС верхнего поселка с. Белогорье)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</si>
  <si>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</si>
  <si>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S7429</t>
  </si>
  <si>
    <t>03 2 01 S7430</t>
  </si>
  <si>
    <t>03 2 01 S7431</t>
  </si>
  <si>
    <t>03 2 01 S7432</t>
  </si>
  <si>
    <t>03 2 01 S7433</t>
  </si>
  <si>
    <t>03 2 01 S7434</t>
  </si>
  <si>
    <t>03 2 01 S7436</t>
  </si>
  <si>
    <t>03 2 01 S7437</t>
  </si>
  <si>
    <t>03 2 01 S7438</t>
  </si>
  <si>
    <t>03 2 01 S7439</t>
  </si>
  <si>
    <t>03 2 01 S7440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</si>
  <si>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</si>
  <si>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</si>
  <si>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Расходы, направленные на модернизацию коммунальной инфраструктуры (Ремонт инженерных сетей пос. Мухинка (от ТК 1 до ТК 5)</t>
  </si>
  <si>
    <t>03 2 01 S7428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</si>
  <si>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</si>
  <si>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S7435</t>
  </si>
  <si>
    <t>Создание и оснащение плоскостных сооружений</t>
  </si>
  <si>
    <t>06 2 05 10170</t>
  </si>
  <si>
    <t>Разработка плана действий по ликвидации последствий аварийных ситуаций в сфере теплоснабжения</t>
  </si>
  <si>
    <t>03 2 01 10715</t>
  </si>
  <si>
    <t>Предпроектная проработка земельного участка под строительство кладбища</t>
  </si>
  <si>
    <t>11 2 01 10862</t>
  </si>
  <si>
    <t>Установка и демонтаж временных опор</t>
  </si>
  <si>
    <t>11 3 01 10905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</si>
  <si>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</si>
  <si>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03 2 01 10720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</si>
  <si>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</si>
  <si>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</si>
  <si>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ул.Студенческая от ул. Загородная до ул.Промышленная)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</si>
  <si>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ул.Пионерская)</t>
  </si>
  <si>
    <t>02 1 И8 9Д11О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</si>
  <si>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</si>
  <si>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</si>
  <si>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Тетральная)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</si>
  <si>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</si>
  <si>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</si>
  <si>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</si>
  <si>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</si>
  <si>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9Д11Т</t>
  </si>
  <si>
    <t>02 1 И8 9Д11У</t>
  </si>
  <si>
    <t>02 1 И8 9Д11Ф</t>
  </si>
  <si>
    <t>02 1 И8 9Д11Х</t>
  </si>
  <si>
    <t>02 1 И8 9Д11Ц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</si>
  <si>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</si>
  <si>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("Серебрянная миля")</t>
  </si>
  <si>
    <t>03 2 01 61056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</si>
  <si>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</si>
  <si>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</si>
  <si>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</si>
  <si>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02 2 02 61051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</si>
  <si>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</si>
  <si>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</si>
  <si>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от 25.09.2025 № 17/86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</si>
</sst>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164" fontId="7" fillId="0" borderId="0" xfId="1" applyNumberFormat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164" fontId="5" fillId="0" borderId="0" xfId="2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1" fontId="5" fillId="0" borderId="0" xfId="5" applyNumberFormat="1" applyFont="1" applyAlignment="1">
      <alignment horizontal="left" vertical="top" wrapText="1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7" fillId="0" borderId="0" xfId="4" applyNumberFormat="1" applyFont="1" applyAlignment="1">
      <alignment vertical="top" wrapText="1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0" xfId="4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0" fontId="5" fillId="0" borderId="0" xfId="4" applyFont="1" applyAlignment="1">
      <alignment horizontal="left" vertical="top" wrapText="1"/>
    </xf>
    <xf numFmtId="49" fontId="5" fillId="0" borderId="0" xfId="0" applyNumberFormat="1" applyFont="1"/>
    <xf numFmtId="1" fontId="5" fillId="0" borderId="0" xfId="1" applyNumberFormat="1" applyFont="1" applyAlignment="1">
      <alignment horizontal="left" wrapText="1"/>
    </xf>
    <xf numFmtId="1" fontId="5" fillId="0" borderId="0" xfId="1" applyNumberFormat="1" applyFont="1" applyAlignment="1">
      <alignment wrapText="1"/>
    </xf>
    <xf numFmtId="0" fontId="5" fillId="0" borderId="0" xfId="3" applyFont="1" applyAlignment="1">
      <alignment horizontal="left" vertical="top" wrapText="1"/>
    </xf>
    <xf numFmtId="0" fontId="7" fillId="0" borderId="0" xfId="4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166" fontId="5" fillId="0" borderId="0" xfId="0" applyNumberFormat="1" applyFont="1" applyAlignment="1">
      <alignment horizontal="left" vertical="center" wrapText="1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64" fontId="7" fillId="0" borderId="0" xfId="1" applyNumberFormat="1" applyFont="1" applyAlignment="1">
      <alignment horizontal="center" vertical="top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1" fontId="7" fillId="0" borderId="0" xfId="1" applyNumberFormat="1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4" Type="http://schemas.openxmlformats.org/officeDocument/2006/relationships/revisionLog" Target="revisionLog35.xml"/><Relationship Id="rId55" Type="http://schemas.openxmlformats.org/officeDocument/2006/relationships/revisionLog" Target="revisionLog6.xml"/><Relationship Id="rId63" Type="http://schemas.openxmlformats.org/officeDocument/2006/relationships/revisionLog" Target="revisionLog14.xml"/><Relationship Id="rId68" Type="http://schemas.openxmlformats.org/officeDocument/2006/relationships/revisionLog" Target="revisionLog19.xml"/><Relationship Id="rId76" Type="http://schemas.openxmlformats.org/officeDocument/2006/relationships/revisionLog" Target="revisionLog27.xml"/><Relationship Id="rId89" Type="http://schemas.openxmlformats.org/officeDocument/2006/relationships/revisionLog" Target="revisionLog1.xml"/><Relationship Id="rId59" Type="http://schemas.openxmlformats.org/officeDocument/2006/relationships/revisionLog" Target="revisionLog10.xml"/><Relationship Id="rId67" Type="http://schemas.openxmlformats.org/officeDocument/2006/relationships/revisionLog" Target="revisionLog18.xml"/><Relationship Id="rId71" Type="http://schemas.openxmlformats.org/officeDocument/2006/relationships/revisionLog" Target="revisionLog22.xml"/><Relationship Id="rId54" Type="http://schemas.openxmlformats.org/officeDocument/2006/relationships/revisionLog" Target="revisionLog5.xml"/><Relationship Id="rId62" Type="http://schemas.openxmlformats.org/officeDocument/2006/relationships/revisionLog" Target="revisionLog13.xml"/><Relationship Id="rId70" Type="http://schemas.openxmlformats.org/officeDocument/2006/relationships/revisionLog" Target="revisionLog21.xml"/><Relationship Id="rId75" Type="http://schemas.openxmlformats.org/officeDocument/2006/relationships/revisionLog" Target="revisionLog26.xml"/><Relationship Id="rId83" Type="http://schemas.openxmlformats.org/officeDocument/2006/relationships/revisionLog" Target="revisionLog34.xml"/><Relationship Id="rId88" Type="http://schemas.openxmlformats.org/officeDocument/2006/relationships/revisionLog" Target="revisionLog39.xml"/><Relationship Id="rId53" Type="http://schemas.openxmlformats.org/officeDocument/2006/relationships/revisionLog" Target="revisionLog4.xml"/><Relationship Id="rId58" Type="http://schemas.openxmlformats.org/officeDocument/2006/relationships/revisionLog" Target="revisionLog9.xml"/><Relationship Id="rId66" Type="http://schemas.openxmlformats.org/officeDocument/2006/relationships/revisionLog" Target="revisionLog17.xml"/><Relationship Id="rId74" Type="http://schemas.openxmlformats.org/officeDocument/2006/relationships/revisionLog" Target="revisionLog25.xml"/><Relationship Id="rId79" Type="http://schemas.openxmlformats.org/officeDocument/2006/relationships/revisionLog" Target="revisionLog30.xml"/><Relationship Id="rId87" Type="http://schemas.openxmlformats.org/officeDocument/2006/relationships/revisionLog" Target="revisionLog38.xml"/><Relationship Id="rId57" Type="http://schemas.openxmlformats.org/officeDocument/2006/relationships/revisionLog" Target="revisionLog8.xml"/><Relationship Id="rId61" Type="http://schemas.openxmlformats.org/officeDocument/2006/relationships/revisionLog" Target="revisionLog12.xml"/><Relationship Id="rId82" Type="http://schemas.openxmlformats.org/officeDocument/2006/relationships/revisionLog" Target="revisionLog33.xml"/><Relationship Id="rId52" Type="http://schemas.openxmlformats.org/officeDocument/2006/relationships/revisionLog" Target="revisionLog3.xml"/><Relationship Id="rId60" Type="http://schemas.openxmlformats.org/officeDocument/2006/relationships/revisionLog" Target="revisionLog11.xml"/><Relationship Id="rId65" Type="http://schemas.openxmlformats.org/officeDocument/2006/relationships/revisionLog" Target="revisionLog16.xml"/><Relationship Id="rId73" Type="http://schemas.openxmlformats.org/officeDocument/2006/relationships/revisionLog" Target="revisionLog24.xml"/><Relationship Id="rId78" Type="http://schemas.openxmlformats.org/officeDocument/2006/relationships/revisionLog" Target="revisionLog29.xml"/><Relationship Id="rId81" Type="http://schemas.openxmlformats.org/officeDocument/2006/relationships/revisionLog" Target="revisionLog32.xml"/><Relationship Id="rId86" Type="http://schemas.openxmlformats.org/officeDocument/2006/relationships/revisionLog" Target="revisionLog37.xml"/><Relationship Id="rId56" Type="http://schemas.openxmlformats.org/officeDocument/2006/relationships/revisionLog" Target="revisionLog7.xml"/><Relationship Id="rId64" Type="http://schemas.openxmlformats.org/officeDocument/2006/relationships/revisionLog" Target="revisionLog15.xml"/><Relationship Id="rId69" Type="http://schemas.openxmlformats.org/officeDocument/2006/relationships/revisionLog" Target="revisionLog20.xml"/><Relationship Id="rId77" Type="http://schemas.openxmlformats.org/officeDocument/2006/relationships/revisionLog" Target="revisionLog28.xml"/><Relationship Id="rId51" Type="http://schemas.openxmlformats.org/officeDocument/2006/relationships/revisionLog" Target="revisionLog2.xml"/><Relationship Id="rId72" Type="http://schemas.openxmlformats.org/officeDocument/2006/relationships/revisionLog" Target="revisionLog23.xml"/><Relationship Id="rId80" Type="http://schemas.openxmlformats.org/officeDocument/2006/relationships/revisionLog" Target="revisionLog31.xml"/><Relationship Id="rId85" Type="http://schemas.openxmlformats.org/officeDocument/2006/relationships/revisionLog" Target="revisionLog3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DCAA808-148F-43F6-B38F-DBB92051A021}" diskRevisions="1" revisionId="2463" version="8">
  <header guid="{2E91E225-E932-4F24-9374-729CE0B2ACD3}" dateTime="2025-08-27T10:45:21" maxSheetId="2" userName="Наталья Геращенко" r:id="rId51" minRId="898" maxRId="909">
    <sheetIdMap count="1">
      <sheetId val="1"/>
    </sheetIdMap>
  </header>
  <header guid="{5B3E5633-9A71-44CE-8FC3-553E70EBC925}" dateTime="2025-08-28T10:38:37" maxSheetId="2" userName="Ярина Анна" r:id="rId52" minRId="910" maxRId="1048">
    <sheetIdMap count="1">
      <sheetId val="1"/>
    </sheetIdMap>
  </header>
  <header guid="{97AA213B-4C50-4A49-8E1A-5E4BDC7B5D70}" dateTime="2025-08-28T11:05:46" maxSheetId="2" userName="Ярина Анна" r:id="rId53" minRId="1049" maxRId="1088">
    <sheetIdMap count="1">
      <sheetId val="1"/>
    </sheetIdMap>
  </header>
  <header guid="{FE96009B-142D-4162-A154-709A560A26D0}" dateTime="2025-08-28T11:08:17" maxSheetId="2" userName="Ярина Анна" r:id="rId54" minRId="1089" maxRId="1096">
    <sheetIdMap count="1">
      <sheetId val="1"/>
    </sheetIdMap>
  </header>
  <header guid="{E2A85069-DEC2-4189-8690-ED19DA7620E8}" dateTime="2025-08-28T11:33:19" maxSheetId="2" userName="Ярина Анна" r:id="rId55" minRId="1097" maxRId="1112">
    <sheetIdMap count="1">
      <sheetId val="1"/>
    </sheetIdMap>
  </header>
  <header guid="{A42056D3-C455-4FF4-AB4B-0DAC67130939}" dateTime="2025-08-29T10:20:02" maxSheetId="2" userName="Ярина Анна" r:id="rId56" minRId="1113" maxRId="1128">
    <sheetIdMap count="1">
      <sheetId val="1"/>
    </sheetIdMap>
  </header>
  <header guid="{A602F61C-F290-4E5E-9E8F-3B43B007701B}" dateTime="2025-08-29T16:48:56" maxSheetId="2" userName="Ярина Анна" r:id="rId57" minRId="1129" maxRId="1170">
    <sheetIdMap count="1">
      <sheetId val="1"/>
    </sheetIdMap>
  </header>
  <header guid="{1B639C91-3F86-4031-B07A-1E0B16593752}" dateTime="2025-08-29T16:52:50" maxSheetId="2" userName="Ярина Анна" r:id="rId58" minRId="1171" maxRId="1174">
    <sheetIdMap count="1">
      <sheetId val="1"/>
    </sheetIdMap>
  </header>
  <header guid="{F07EBA36-6C20-4110-A0FB-9DACCF17EB09}" dateTime="2025-08-29T17:06:39" maxSheetId="2" userName="Ярина Анна" r:id="rId59" minRId="1175" maxRId="1191">
    <sheetIdMap count="1">
      <sheetId val="1"/>
    </sheetIdMap>
  </header>
  <header guid="{5D627F56-8C6D-401A-A760-5C98684ECA9C}" dateTime="2025-08-29T17:11:07" maxSheetId="2" userName="Ярина Анна" r:id="rId60" minRId="1192" maxRId="1195">
    <sheetIdMap count="1">
      <sheetId val="1"/>
    </sheetIdMap>
  </header>
  <header guid="{5A200121-5E77-43AB-8AE6-66D3D13BF8BE}" dateTime="2025-08-29T18:23:09" maxSheetId="2" userName="Ярина Анна" r:id="rId61" minRId="1196" maxRId="1430">
    <sheetIdMap count="1">
      <sheetId val="1"/>
    </sheetIdMap>
  </header>
  <header guid="{F37C87F3-6B31-4699-AA7B-7F7071962686}" dateTime="2025-08-29T18:30:16" maxSheetId="2" userName="Ярина Анна" r:id="rId62" minRId="1433" maxRId="1463">
    <sheetIdMap count="1">
      <sheetId val="1"/>
    </sheetIdMap>
  </header>
  <header guid="{30E4D8F7-113C-40C4-AB73-89291C2BF8AE}" dateTime="2025-08-29T18:34:24" maxSheetId="2" userName="Ярина Анна" r:id="rId63" minRId="1464">
    <sheetIdMap count="1">
      <sheetId val="1"/>
    </sheetIdMap>
  </header>
  <header guid="{21276360-6042-486A-A09E-DAFD052C783A}" dateTime="2025-08-29T18:54:23" maxSheetId="2" userName="Ярина Анна" r:id="rId64" minRId="1465" maxRId="1495">
    <sheetIdMap count="1">
      <sheetId val="1"/>
    </sheetIdMap>
  </header>
  <header guid="{5A9C21D0-E8D1-477D-8808-F6F65880BFFC}" dateTime="2025-08-29T19:33:00" maxSheetId="2" userName="Ярина Анна" r:id="rId65" minRId="1496" maxRId="1618">
    <sheetIdMap count="1">
      <sheetId val="1"/>
    </sheetIdMap>
  </header>
  <header guid="{BBC5E898-DD18-494B-ABA4-1C5C53FBB8D8}" dateTime="2025-08-29T19:37:11" maxSheetId="2" userName="Ярина Анна" r:id="rId66" minRId="1621" maxRId="1640">
    <sheetIdMap count="1">
      <sheetId val="1"/>
    </sheetIdMap>
  </header>
  <header guid="{34A43935-1D8B-433F-B775-087835B38355}" dateTime="2025-08-29T20:37:56" maxSheetId="2" userName="Ярина Анна" r:id="rId67" minRId="1641" maxRId="1659">
    <sheetIdMap count="1">
      <sheetId val="1"/>
    </sheetIdMap>
  </header>
  <header guid="{7DD6802A-CD08-4422-9A9D-DD51CF3DF000}" dateTime="2025-08-29T20:54:11" maxSheetId="2" userName="Ярина Анна" r:id="rId68">
    <sheetIdMap count="1">
      <sheetId val="1"/>
    </sheetIdMap>
  </header>
  <header guid="{9A183201-0362-4285-A425-91FD215CBB63}" dateTime="2025-08-31T11:06:30" maxSheetId="2" userName="Ярина Анна" r:id="rId69">
    <sheetIdMap count="1">
      <sheetId val="1"/>
    </sheetIdMap>
  </header>
  <header guid="{D1AF46CD-C19F-4D4D-B95D-3A0B43A1D08D}" dateTime="2025-08-31T12:02:43" maxSheetId="2" userName="Ярина Анна" r:id="rId70" minRId="1662" maxRId="1746">
    <sheetIdMap count="1">
      <sheetId val="1"/>
    </sheetIdMap>
  </header>
  <header guid="{63D14413-662C-48DF-AACB-95F2B32ECAC3}" dateTime="2025-08-31T12:26:37" maxSheetId="2" userName="Ярина Анна" r:id="rId71" minRId="1749" maxRId="1874">
    <sheetIdMap count="1">
      <sheetId val="1"/>
    </sheetIdMap>
  </header>
  <header guid="{1328D7A3-198D-4528-BB83-10BB1F8BB4DE}" dateTime="2025-08-31T13:13:33" maxSheetId="2" userName="Ярина Анна" r:id="rId72" minRId="1877" maxRId="2098">
    <sheetIdMap count="1">
      <sheetId val="1"/>
    </sheetIdMap>
  </header>
  <header guid="{31234E59-57AB-4A02-8781-240D47AAE1EF}" dateTime="2025-08-31T13:21:19" maxSheetId="2" userName="Ярина Анна" r:id="rId73" minRId="2099" maxRId="2132">
    <sheetIdMap count="1">
      <sheetId val="1"/>
    </sheetIdMap>
  </header>
  <header guid="{21B32A73-9A77-48A3-B6B0-988C2D4720DF}" dateTime="2025-08-31T13:25:10" maxSheetId="2" userName="Ярина Анна" r:id="rId74" minRId="2133" maxRId="2148">
    <sheetIdMap count="1">
      <sheetId val="1"/>
    </sheetIdMap>
  </header>
  <header guid="{D78AE614-5930-4C41-BB7E-5114B87A6AB8}" dateTime="2025-08-31T13:43:11" maxSheetId="2" userName="Ярина Анна" r:id="rId75" minRId="2149" maxRId="2158">
    <sheetIdMap count="1">
      <sheetId val="1"/>
    </sheetIdMap>
  </header>
  <header guid="{E7D2C793-6F3D-4592-8D1C-537312E532B2}" dateTime="2025-08-31T13:45:19" maxSheetId="2" userName="Ярина Анна" r:id="rId76" minRId="2162" maxRId="2165">
    <sheetIdMap count="1">
      <sheetId val="1"/>
    </sheetIdMap>
  </header>
  <header guid="{B59399B4-2E2E-42D1-A1CA-664501F00757}" dateTime="2025-08-31T13:54:08" maxSheetId="2" userName="Ярина Анна" r:id="rId77" minRId="2169" maxRId="2261">
    <sheetIdMap count="1">
      <sheetId val="1"/>
    </sheetIdMap>
  </header>
  <header guid="{87FB5D61-650A-40BC-8E6C-BF5AC50F9829}" dateTime="2025-08-31T14:09:16" maxSheetId="2" userName="Ярина Анна" r:id="rId78" minRId="2262" maxRId="2391">
    <sheetIdMap count="1">
      <sheetId val="1"/>
    </sheetIdMap>
  </header>
  <header guid="{D0351B3C-212F-42C3-9DE9-B430163755EF}" dateTime="2025-08-31T14:09:32" maxSheetId="2" userName="Ярина Анна" r:id="rId79">
    <sheetIdMap count="1">
      <sheetId val="1"/>
    </sheetIdMap>
  </header>
  <header guid="{564806E6-AF43-408C-9197-109CFA4E111C}" dateTime="2025-08-31T14:10:54" maxSheetId="2" userName="Ярина Анна" r:id="rId80" minRId="2392" maxRId="2396">
    <sheetIdMap count="1">
      <sheetId val="1"/>
    </sheetIdMap>
  </header>
  <header guid="{EC86459C-DAF9-4E42-A0E2-22729CB803AA}" dateTime="2025-08-31T14:12:27" maxSheetId="2" userName="Ярина Анна" r:id="rId81" minRId="2397" maxRId="2407">
    <sheetIdMap count="1">
      <sheetId val="1"/>
    </sheetIdMap>
  </header>
  <header guid="{77A27199-F30D-467E-825C-A89B1C8EC895}" dateTime="2025-08-31T14:17:51" maxSheetId="2" userName="Ярина Анна" r:id="rId82" minRId="2410" maxRId="2412">
    <sheetIdMap count="1">
      <sheetId val="1"/>
    </sheetIdMap>
  </header>
  <header guid="{944A9956-E8C8-44D0-9D67-56804F715E4F}" dateTime="2025-09-11T15:27:30" maxSheetId="2" userName="Наталья Геращенко" r:id="rId83" minRId="2413" maxRId="2420">
    <sheetIdMap count="1">
      <sheetId val="1"/>
    </sheetIdMap>
  </header>
  <header guid="{2C930654-367B-4036-927C-09FAAD763D57}" dateTime="2025-09-11T15:28:49" maxSheetId="2" userName="Наталья Геращенко" r:id="rId84" minRId="2424" maxRId="2438">
    <sheetIdMap count="1">
      <sheetId val="1"/>
    </sheetIdMap>
  </header>
  <header guid="{1A5F0E87-84CF-4943-BA55-5B45214D7FF3}" dateTime="2025-09-15T09:06:50" maxSheetId="2" userName="Наталья Геращенко" r:id="rId85" minRId="2439" maxRId="2440">
    <sheetIdMap count="1">
      <sheetId val="1"/>
    </sheetIdMap>
  </header>
  <header guid="{8F702745-2599-490C-9CAC-779F7A6634D4}" dateTime="2025-09-15T09:24:26" maxSheetId="2" userName="Наталья Геращенко" r:id="rId86" minRId="2444" maxRId="2455">
    <sheetIdMap count="1">
      <sheetId val="1"/>
    </sheetIdMap>
  </header>
  <header guid="{1772A0A5-A8AC-4E77-8FBF-A3D1C3A9B4C8}" dateTime="2025-09-15T09:26:10" maxSheetId="2" userName="Наталья Геращенко" r:id="rId87" minRId="2456" maxRId="2457">
    <sheetIdMap count="1">
      <sheetId val="1"/>
    </sheetIdMap>
  </header>
  <header guid="{F65B1060-7251-4273-A673-5C57DE739046}" dateTime="2025-09-15T12:49:22" maxSheetId="2" userName="Наталья Геращенко" r:id="rId88">
    <sheetIdMap count="1">
      <sheetId val="1"/>
    </sheetIdMap>
  </header>
  <header guid="{0DCAA808-148F-43F6-B38F-DBB92051A021}" dateTime="2025-09-25T09:43:22" maxSheetId="2" userName="Наталья Геращенко" r:id="rId89" minRId="246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61" sId="1">
    <nc r="F2" t="inlineStr">
      <is>
        <t>от 25.09.2025 № 17/86</t>
      </is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рпр!$B$1:$B$969</formula>
    <oldFormula>рпр!$B$1:$B$969</oldFormula>
  </rdn>
  <rcv guid="{2A135292-D5EB-4A8D-A93E-D0B24F2543E0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" sId="1">
    <oc r="E549">
      <f>979615.4+1778.7+9916.4</f>
    </oc>
    <nc r="E549">
      <f>979615.4+1778.7+9916.4+5366.1</f>
    </nc>
  </rcc>
  <rfmt sheetId="1" s="1" sqref="C560" start="0" length="0">
    <dxf/>
  </rfmt>
  <rfmt sheetId="1" s="1" sqref="C561" start="0" length="0">
    <dxf/>
  </rfmt>
  <rfmt sheetId="1" s="1" sqref="C562" start="0" length="0">
    <dxf/>
  </rfmt>
  <rfmt sheetId="1" s="1" sqref="C563" start="0" length="0">
    <dxf/>
  </rfmt>
  <rfmt sheetId="1" s="1" sqref="C564" start="0" length="0">
    <dxf/>
  </rfmt>
  <rfmt sheetId="1" s="1" sqref="C565" start="0" length="0">
    <dxf/>
  </rfmt>
  <rcc rId="1176" sId="1">
    <oc r="E591">
      <f>544267.5+1388.7+1286.4+9551.8+330+1020.9+5153.6</f>
    </oc>
    <nc r="E591">
      <f>544267.5+1388.7+1286.4+9551.8+330+1020.9+5153.6+7290.1</f>
    </nc>
  </rcc>
  <rcc rId="1177" sId="1" numFmtId="4">
    <oc r="E593">
      <v>73083.399999999994</v>
    </oc>
    <nc r="E593">
      <f>73083.4+10728.4</f>
    </nc>
  </rcc>
  <rcc rId="1178" sId="1" numFmtId="4">
    <oc r="E634">
      <v>178459.7</v>
    </oc>
    <nc r="E634">
      <f>178459.7+213</f>
    </nc>
  </rcc>
  <rcc rId="1179" sId="1" numFmtId="4">
    <oc r="E705">
      <v>54659.100000000006</v>
    </oc>
    <nc r="E705">
      <f>54659.1+2413.1</f>
    </nc>
  </rcc>
  <rcc rId="1180" sId="1" numFmtId="4">
    <oc r="E706">
      <v>1154</v>
    </oc>
    <nc r="E706">
      <f>1154+53</f>
    </nc>
  </rcc>
  <rcc rId="1181" sId="1" numFmtId="4">
    <oc r="E709">
      <v>10321.199999999999</v>
    </oc>
    <nc r="E709">
      <f>10321.2+75</f>
    </nc>
  </rcc>
  <rcc rId="1182" sId="1" numFmtId="4">
    <oc r="E711">
      <v>103943</v>
    </oc>
    <nc r="E711">
      <f>103943+1448.7</f>
    </nc>
  </rcc>
  <rcc rId="1183" sId="1" numFmtId="4">
    <oc r="E712">
      <v>4674.3</v>
    </oc>
    <nc r="E712">
      <f>4674.3+53</f>
    </nc>
  </rcc>
  <rcc rId="1184" sId="1">
    <oc r="E845">
      <f>253422.3+6528.9+673.7</f>
    </oc>
    <nc r="E845">
      <f>253422.3+6528.9+673.7+1511.7</f>
    </nc>
  </rcc>
  <rcc rId="1185" sId="1" numFmtId="4">
    <oc r="E738">
      <v>370930.1</v>
    </oc>
    <nc r="E738">
      <f>370930.1+6233.3</f>
    </nc>
  </rcc>
  <rcc rId="1186" sId="1" numFmtId="4">
    <oc r="E748">
      <v>13819.3</v>
    </oc>
    <nc r="E748">
      <f>13819.3+617.1</f>
    </nc>
  </rcc>
  <rcc rId="1187" sId="1" numFmtId="4">
    <oc r="E112">
      <v>60250.899999999994</v>
    </oc>
    <nc r="E112">
      <f>60250.9+1749.6</f>
    </nc>
  </rcc>
  <rcc rId="1188" sId="1" numFmtId="4">
    <nc r="E293">
      <f>2056.8+25481.8</f>
    </nc>
  </rcc>
  <rcc rId="1189" sId="1" numFmtId="4">
    <oc r="E294">
      <v>2079.8000000000002</v>
    </oc>
    <nc r="E294">
      <f>2079.8-2056.8</f>
    </nc>
  </rcc>
  <rcc rId="1190" sId="1" numFmtId="4">
    <oc r="E296">
      <v>2932.5</v>
    </oc>
    <nc r="E296">
      <f>2932.5+254.8</f>
    </nc>
  </rcc>
  <rcc rId="1191" sId="1">
    <oc r="E56">
      <f>88962.3+1843.8</f>
    </oc>
    <nc r="E56">
      <f>88962.3+1843.8+310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2" sId="1" numFmtId="4">
    <oc r="E770">
      <v>2684.5</v>
    </oc>
    <nc r="E770">
      <f>2684.5+-126</f>
    </nc>
  </rcc>
  <rcc rId="1193" sId="1" numFmtId="4">
    <oc r="E871">
      <v>143371.5</v>
    </oc>
    <nc r="E871">
      <f>143371.5-50063.1</f>
    </nc>
  </rcc>
  <rcc rId="1194" sId="1" numFmtId="4">
    <oc r="E28">
      <v>11663.3</v>
    </oc>
    <nc r="E28">
      <f>11663.3-219.8</f>
    </nc>
  </rcc>
  <rcc rId="1195" sId="1" numFmtId="4">
    <oc r="E93">
      <v>1603.7</v>
    </oc>
    <nc r="E93">
      <f>1603.7-219.8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6" sId="1">
    <oc r="E237">
      <v>65840.5</v>
    </oc>
    <nc r="E237">
      <f>65840.5-61890.1-3950.4</f>
    </nc>
  </rcc>
  <rcc rId="1197" sId="1">
    <oc r="E241">
      <f>90217.8+5894+6898.8</f>
    </oc>
    <nc r="E241">
      <f>90217.8+5894+6898.8+50244.8+3207.1</f>
    </nc>
  </rcc>
  <rcc rId="1198" sId="1">
    <oc r="E244">
      <v>52451.500000000007</v>
    </oc>
    <nc r="E244">
      <f>52451.5+21846.6+1394.5</f>
    </nc>
  </rcc>
  <rrc rId="1199" sId="1" ref="A351:XFD351" action="insertRow">
    <undo index="65535" exp="area" ref3D="1" dr="$A$869:$XFD$871" dn="Z_1CA6CCC9_64EF_4CA9_9C9C_1E572976D134_.wvu.Rows" sId="1"/>
    <undo index="65535" exp="area" ref3D="1" dr="$A$864:$XFD$866" dn="Z_1CA6CCC9_64EF_4CA9_9C9C_1E572976D134_.wvu.Rows" sId="1"/>
    <undo index="65535" exp="area" ref3D="1" dr="$A$841:$XFD$861" dn="Z_1CA6CCC9_64EF_4CA9_9C9C_1E572976D134_.wvu.Rows" sId="1"/>
    <undo index="65535" exp="area" ref3D="1" dr="$A$821:$XFD$839" dn="Z_1CA6CCC9_64EF_4CA9_9C9C_1E572976D134_.wvu.Rows" sId="1"/>
    <undo index="65535" exp="area" ref3D="1" dr="$A$815:$XFD$819" dn="Z_1CA6CCC9_64EF_4CA9_9C9C_1E572976D134_.wvu.Rows" sId="1"/>
    <undo index="65535" exp="area" ref3D="1" dr="$A$783:$XFD$812" dn="Z_1CA6CCC9_64EF_4CA9_9C9C_1E572976D134_.wvu.Rows" sId="1"/>
    <undo index="65535" exp="area" ref3D="1" dr="$A$768:$XFD$781" dn="Z_1CA6CCC9_64EF_4CA9_9C9C_1E572976D134_.wvu.Rows" sId="1"/>
    <undo index="65535" exp="area" ref3D="1" dr="$A$764:$XFD$766" dn="Z_1CA6CCC9_64EF_4CA9_9C9C_1E572976D134_.wvu.Rows" sId="1"/>
    <undo index="65535" exp="area" ref3D="1" dr="$A$740:$XFD$761" dn="Z_1CA6CCC9_64EF_4CA9_9C9C_1E572976D134_.wvu.Rows" sId="1"/>
    <undo index="65535" exp="area" ref3D="1" dr="$A$719:$XFD$738" dn="Z_1CA6CCC9_64EF_4CA9_9C9C_1E572976D134_.wvu.Rows" sId="1"/>
    <undo index="65535" exp="area" ref3D="1" dr="$A$667:$XFD$716" dn="Z_1CA6CCC9_64EF_4CA9_9C9C_1E572976D134_.wvu.Rows" sId="1"/>
    <undo index="65535" exp="area" ref3D="1" dr="$A$649:$XFD$665" dn="Z_1CA6CCC9_64EF_4CA9_9C9C_1E572976D134_.wvu.Rows" sId="1"/>
    <undo index="65535" exp="area" ref3D="1" dr="$A$626:$XFD$647" dn="Z_1CA6CCC9_64EF_4CA9_9C9C_1E572976D134_.wvu.Rows" sId="1"/>
    <undo index="65535" exp="area" ref3D="1" dr="$A$561:$XFD$624" dn="Z_1CA6CCC9_64EF_4CA9_9C9C_1E572976D134_.wvu.Rows" sId="1"/>
    <undo index="65535" exp="area" ref3D="1" dr="$A$539:$XFD$559" dn="Z_1CA6CCC9_64EF_4CA9_9C9C_1E572976D134_.wvu.Rows" sId="1"/>
    <undo index="65535" exp="area" ref3D="1" dr="$A$532:$XFD$536" dn="Z_1CA6CCC9_64EF_4CA9_9C9C_1E572976D134_.wvu.Rows" sId="1"/>
    <undo index="65535" exp="area" ref3D="1" dr="$A$510:$XFD$529" dn="Z_1CA6CCC9_64EF_4CA9_9C9C_1E572976D134_.wvu.Rows" sId="1"/>
    <undo index="65535" exp="area" ref3D="1" dr="$A$429:$XFD$508" dn="Z_1CA6CCC9_64EF_4CA9_9C9C_1E572976D134_.wvu.Rows" sId="1"/>
    <undo index="65535" exp="area" ref3D="1" dr="$A$328:$XFD$427" dn="Z_1CA6CCC9_64EF_4CA9_9C9C_1E572976D134_.wvu.Rows" sId="1"/>
  </rrc>
  <rrc rId="1200" sId="1" ref="A351:XFD351" action="insertRow">
    <undo index="65535" exp="area" ref3D="1" dr="$A$870:$XFD$872" dn="Z_1CA6CCC9_64EF_4CA9_9C9C_1E572976D134_.wvu.Rows" sId="1"/>
    <undo index="65535" exp="area" ref3D="1" dr="$A$865:$XFD$867" dn="Z_1CA6CCC9_64EF_4CA9_9C9C_1E572976D134_.wvu.Rows" sId="1"/>
    <undo index="65535" exp="area" ref3D="1" dr="$A$842:$XFD$862" dn="Z_1CA6CCC9_64EF_4CA9_9C9C_1E572976D134_.wvu.Rows" sId="1"/>
    <undo index="65535" exp="area" ref3D="1" dr="$A$822:$XFD$840" dn="Z_1CA6CCC9_64EF_4CA9_9C9C_1E572976D134_.wvu.Rows" sId="1"/>
    <undo index="65535" exp="area" ref3D="1" dr="$A$816:$XFD$820" dn="Z_1CA6CCC9_64EF_4CA9_9C9C_1E572976D134_.wvu.Rows" sId="1"/>
    <undo index="65535" exp="area" ref3D="1" dr="$A$784:$XFD$813" dn="Z_1CA6CCC9_64EF_4CA9_9C9C_1E572976D134_.wvu.Rows" sId="1"/>
    <undo index="65535" exp="area" ref3D="1" dr="$A$769:$XFD$782" dn="Z_1CA6CCC9_64EF_4CA9_9C9C_1E572976D134_.wvu.Rows" sId="1"/>
    <undo index="65535" exp="area" ref3D="1" dr="$A$765:$XFD$767" dn="Z_1CA6CCC9_64EF_4CA9_9C9C_1E572976D134_.wvu.Rows" sId="1"/>
    <undo index="65535" exp="area" ref3D="1" dr="$A$741:$XFD$762" dn="Z_1CA6CCC9_64EF_4CA9_9C9C_1E572976D134_.wvu.Rows" sId="1"/>
    <undo index="65535" exp="area" ref3D="1" dr="$A$720:$XFD$739" dn="Z_1CA6CCC9_64EF_4CA9_9C9C_1E572976D134_.wvu.Rows" sId="1"/>
    <undo index="65535" exp="area" ref3D="1" dr="$A$668:$XFD$717" dn="Z_1CA6CCC9_64EF_4CA9_9C9C_1E572976D134_.wvu.Rows" sId="1"/>
    <undo index="65535" exp="area" ref3D="1" dr="$A$650:$XFD$666" dn="Z_1CA6CCC9_64EF_4CA9_9C9C_1E572976D134_.wvu.Rows" sId="1"/>
    <undo index="65535" exp="area" ref3D="1" dr="$A$627:$XFD$648" dn="Z_1CA6CCC9_64EF_4CA9_9C9C_1E572976D134_.wvu.Rows" sId="1"/>
    <undo index="65535" exp="area" ref3D="1" dr="$A$562:$XFD$625" dn="Z_1CA6CCC9_64EF_4CA9_9C9C_1E572976D134_.wvu.Rows" sId="1"/>
    <undo index="65535" exp="area" ref3D="1" dr="$A$540:$XFD$560" dn="Z_1CA6CCC9_64EF_4CA9_9C9C_1E572976D134_.wvu.Rows" sId="1"/>
    <undo index="65535" exp="area" ref3D="1" dr="$A$533:$XFD$537" dn="Z_1CA6CCC9_64EF_4CA9_9C9C_1E572976D134_.wvu.Rows" sId="1"/>
    <undo index="65535" exp="area" ref3D="1" dr="$A$511:$XFD$530" dn="Z_1CA6CCC9_64EF_4CA9_9C9C_1E572976D134_.wvu.Rows" sId="1"/>
    <undo index="65535" exp="area" ref3D="1" dr="$A$430:$XFD$509" dn="Z_1CA6CCC9_64EF_4CA9_9C9C_1E572976D134_.wvu.Rows" sId="1"/>
    <undo index="65535" exp="area" ref3D="1" dr="$A$328:$XFD$428" dn="Z_1CA6CCC9_64EF_4CA9_9C9C_1E572976D134_.wvu.Rows" sId="1"/>
  </rrc>
  <rrc rId="1201" sId="1" ref="A351:XFD352" action="insertRow">
    <undo index="65535" exp="area" ref3D="1" dr="$A$871:$XFD$873" dn="Z_1CA6CCC9_64EF_4CA9_9C9C_1E572976D134_.wvu.Rows" sId="1"/>
    <undo index="65535" exp="area" ref3D="1" dr="$A$866:$XFD$868" dn="Z_1CA6CCC9_64EF_4CA9_9C9C_1E572976D134_.wvu.Rows" sId="1"/>
    <undo index="65535" exp="area" ref3D="1" dr="$A$843:$XFD$863" dn="Z_1CA6CCC9_64EF_4CA9_9C9C_1E572976D134_.wvu.Rows" sId="1"/>
    <undo index="65535" exp="area" ref3D="1" dr="$A$823:$XFD$841" dn="Z_1CA6CCC9_64EF_4CA9_9C9C_1E572976D134_.wvu.Rows" sId="1"/>
    <undo index="65535" exp="area" ref3D="1" dr="$A$817:$XFD$821" dn="Z_1CA6CCC9_64EF_4CA9_9C9C_1E572976D134_.wvu.Rows" sId="1"/>
    <undo index="65535" exp="area" ref3D="1" dr="$A$785:$XFD$814" dn="Z_1CA6CCC9_64EF_4CA9_9C9C_1E572976D134_.wvu.Rows" sId="1"/>
    <undo index="65535" exp="area" ref3D="1" dr="$A$770:$XFD$783" dn="Z_1CA6CCC9_64EF_4CA9_9C9C_1E572976D134_.wvu.Rows" sId="1"/>
    <undo index="65535" exp="area" ref3D="1" dr="$A$766:$XFD$768" dn="Z_1CA6CCC9_64EF_4CA9_9C9C_1E572976D134_.wvu.Rows" sId="1"/>
    <undo index="65535" exp="area" ref3D="1" dr="$A$742:$XFD$763" dn="Z_1CA6CCC9_64EF_4CA9_9C9C_1E572976D134_.wvu.Rows" sId="1"/>
    <undo index="65535" exp="area" ref3D="1" dr="$A$721:$XFD$740" dn="Z_1CA6CCC9_64EF_4CA9_9C9C_1E572976D134_.wvu.Rows" sId="1"/>
    <undo index="65535" exp="area" ref3D="1" dr="$A$669:$XFD$718" dn="Z_1CA6CCC9_64EF_4CA9_9C9C_1E572976D134_.wvu.Rows" sId="1"/>
    <undo index="65535" exp="area" ref3D="1" dr="$A$651:$XFD$667" dn="Z_1CA6CCC9_64EF_4CA9_9C9C_1E572976D134_.wvu.Rows" sId="1"/>
    <undo index="65535" exp="area" ref3D="1" dr="$A$628:$XFD$649" dn="Z_1CA6CCC9_64EF_4CA9_9C9C_1E572976D134_.wvu.Rows" sId="1"/>
    <undo index="65535" exp="area" ref3D="1" dr="$A$563:$XFD$626" dn="Z_1CA6CCC9_64EF_4CA9_9C9C_1E572976D134_.wvu.Rows" sId="1"/>
    <undo index="65535" exp="area" ref3D="1" dr="$A$541:$XFD$561" dn="Z_1CA6CCC9_64EF_4CA9_9C9C_1E572976D134_.wvu.Rows" sId="1"/>
    <undo index="65535" exp="area" ref3D="1" dr="$A$534:$XFD$538" dn="Z_1CA6CCC9_64EF_4CA9_9C9C_1E572976D134_.wvu.Rows" sId="1"/>
    <undo index="65535" exp="area" ref3D="1" dr="$A$512:$XFD$531" dn="Z_1CA6CCC9_64EF_4CA9_9C9C_1E572976D134_.wvu.Rows" sId="1"/>
    <undo index="65535" exp="area" ref3D="1" dr="$A$431:$XFD$510" dn="Z_1CA6CCC9_64EF_4CA9_9C9C_1E572976D134_.wvu.Rows" sId="1"/>
    <undo index="65535" exp="area" ref3D="1" dr="$A$328:$XFD$429" dn="Z_1CA6CCC9_64EF_4CA9_9C9C_1E572976D134_.wvu.Rows" sId="1"/>
  </rrc>
  <rcc rId="1202" sId="1" odxf="1" s="1" dxf="1">
    <nc r="A351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vertical="center"/>
    </ndxf>
  </rcc>
  <rcc rId="1203" sId="1" odxf="1" dxf="1">
    <nc r="A352" t="inlineStr">
      <is>
        <t>Капитальные вложения в объекты государственной (муниципальной) собственности</t>
      </is>
    </nc>
    <odxf>
      <font>
        <sz val="12"/>
        <name val="Times New Roman"/>
        <family val="1"/>
      </font>
      <numFmt numFmtId="1" formatCode="0"/>
      <alignment horizontal="left"/>
    </odxf>
    <ndxf>
      <font>
        <sz val="12"/>
        <name val="Times New Roman"/>
        <family val="1"/>
      </font>
      <numFmt numFmtId="0" formatCode="General"/>
      <alignment horizontal="general"/>
    </ndxf>
  </rcc>
  <rcc rId="1204" sId="1" odxf="1" s="1" dxf="1">
    <nc r="A353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66" formatCode="?"/>
      <alignment vertical="center"/>
    </ndxf>
  </rcc>
  <rcc rId="1205" sId="1" odxf="1" dxf="1">
    <nc r="A354" t="inlineStr">
      <is>
        <t>Иные бюджетные ассигнования</t>
      </is>
    </nc>
    <odxf>
      <font>
        <sz val="12"/>
        <name val="Times New Roman"/>
        <family val="1"/>
      </font>
      <numFmt numFmtId="1" formatCode="0"/>
      <alignment horizontal="left"/>
    </odxf>
    <ndxf>
      <font>
        <sz val="12"/>
        <name val="Times New Roman"/>
        <family val="1"/>
      </font>
      <numFmt numFmtId="0" formatCode="General"/>
      <alignment horizontal="general"/>
    </ndxf>
  </rcc>
  <rcc rId="1206" sId="1" odxf="1" s="1" dxf="1">
    <nc r="B351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07" sId="1" odxf="1" s="1" dxf="1">
    <nc r="C351" t="inlineStr">
      <is>
        <t>03 2 01 61055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51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08" sId="1" odxf="1" s="1" dxf="1">
    <nc r="B352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09" sId="1" odxf="1" s="1" dxf="1">
    <nc r="C352" t="inlineStr">
      <is>
        <t>03 2 01 61055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0" sId="1" odxf="1" s="1" dxf="1">
    <nc r="D352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11" sId="1" odxf="1" s="1" dxf="1">
    <nc r="B353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2" sId="1" odxf="1" s="1" dxf="1">
    <nc r="C353" t="inlineStr">
      <is>
        <t>03 2 01 61058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5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13" sId="1" odxf="1" s="1" dxf="1">
    <nc r="B354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4" sId="1" odxf="1" s="1" dxf="1">
    <nc r="C354" t="inlineStr">
      <is>
        <t>03 2 01 61058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5" sId="1" odxf="1" s="1" dxf="1">
    <nc r="D354" t="inlineStr">
      <is>
        <t>800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16" sId="1" numFmtId="4">
    <nc r="E352">
      <v>232700</v>
    </nc>
  </rcc>
  <rcc rId="1217" sId="1" numFmtId="4">
    <nc r="E354">
      <v>1600000</v>
    </nc>
  </rcc>
  <rcc rId="1218" sId="1">
    <nc r="E351">
      <f>+E352</f>
    </nc>
  </rcc>
  <rcc rId="1219" sId="1">
    <nc r="E353">
      <f>+E354</f>
    </nc>
  </rcc>
  <rcc rId="1220" sId="1">
    <nc r="F351">
      <f>+F352</f>
    </nc>
  </rcc>
  <rcc rId="1221" sId="1">
    <nc r="G351">
      <f>+G352</f>
    </nc>
  </rcc>
  <rcc rId="1222" sId="1">
    <nc r="F353">
      <f>+F354</f>
    </nc>
  </rcc>
  <rcc rId="1223" sId="1">
    <nc r="G353">
      <f>+G354</f>
    </nc>
  </rcc>
  <rrc rId="1224" sId="1" ref="A361:XFD361" action="insertRow">
    <undo index="65535" exp="area" ref3D="1" dr="$A$873:$XFD$875" dn="Z_1CA6CCC9_64EF_4CA9_9C9C_1E572976D134_.wvu.Rows" sId="1"/>
    <undo index="65535" exp="area" ref3D="1" dr="$A$868:$XFD$870" dn="Z_1CA6CCC9_64EF_4CA9_9C9C_1E572976D134_.wvu.Rows" sId="1"/>
    <undo index="65535" exp="area" ref3D="1" dr="$A$845:$XFD$865" dn="Z_1CA6CCC9_64EF_4CA9_9C9C_1E572976D134_.wvu.Rows" sId="1"/>
    <undo index="65535" exp="area" ref3D="1" dr="$A$825:$XFD$843" dn="Z_1CA6CCC9_64EF_4CA9_9C9C_1E572976D134_.wvu.Rows" sId="1"/>
    <undo index="65535" exp="area" ref3D="1" dr="$A$819:$XFD$823" dn="Z_1CA6CCC9_64EF_4CA9_9C9C_1E572976D134_.wvu.Rows" sId="1"/>
    <undo index="65535" exp="area" ref3D="1" dr="$A$787:$XFD$816" dn="Z_1CA6CCC9_64EF_4CA9_9C9C_1E572976D134_.wvu.Rows" sId="1"/>
    <undo index="65535" exp="area" ref3D="1" dr="$A$772:$XFD$785" dn="Z_1CA6CCC9_64EF_4CA9_9C9C_1E572976D134_.wvu.Rows" sId="1"/>
    <undo index="65535" exp="area" ref3D="1" dr="$A$768:$XFD$770" dn="Z_1CA6CCC9_64EF_4CA9_9C9C_1E572976D134_.wvu.Rows" sId="1"/>
    <undo index="65535" exp="area" ref3D="1" dr="$A$744:$XFD$765" dn="Z_1CA6CCC9_64EF_4CA9_9C9C_1E572976D134_.wvu.Rows" sId="1"/>
    <undo index="65535" exp="area" ref3D="1" dr="$A$723:$XFD$742" dn="Z_1CA6CCC9_64EF_4CA9_9C9C_1E572976D134_.wvu.Rows" sId="1"/>
    <undo index="65535" exp="area" ref3D="1" dr="$A$671:$XFD$720" dn="Z_1CA6CCC9_64EF_4CA9_9C9C_1E572976D134_.wvu.Rows" sId="1"/>
    <undo index="65535" exp="area" ref3D="1" dr="$A$653:$XFD$669" dn="Z_1CA6CCC9_64EF_4CA9_9C9C_1E572976D134_.wvu.Rows" sId="1"/>
    <undo index="65535" exp="area" ref3D="1" dr="$A$630:$XFD$651" dn="Z_1CA6CCC9_64EF_4CA9_9C9C_1E572976D134_.wvu.Rows" sId="1"/>
    <undo index="65535" exp="area" ref3D="1" dr="$A$565:$XFD$628" dn="Z_1CA6CCC9_64EF_4CA9_9C9C_1E572976D134_.wvu.Rows" sId="1"/>
    <undo index="65535" exp="area" ref3D="1" dr="$A$543:$XFD$563" dn="Z_1CA6CCC9_64EF_4CA9_9C9C_1E572976D134_.wvu.Rows" sId="1"/>
    <undo index="65535" exp="area" ref3D="1" dr="$A$536:$XFD$540" dn="Z_1CA6CCC9_64EF_4CA9_9C9C_1E572976D134_.wvu.Rows" sId="1"/>
    <undo index="65535" exp="area" ref3D="1" dr="$A$514:$XFD$533" dn="Z_1CA6CCC9_64EF_4CA9_9C9C_1E572976D134_.wvu.Rows" sId="1"/>
    <undo index="65535" exp="area" ref3D="1" dr="$A$433:$XFD$512" dn="Z_1CA6CCC9_64EF_4CA9_9C9C_1E572976D134_.wvu.Rows" sId="1"/>
    <undo index="65535" exp="area" ref3D="1" dr="$A$328:$XFD$431" dn="Z_1CA6CCC9_64EF_4CA9_9C9C_1E572976D134_.wvu.Rows" sId="1"/>
  </rrc>
  <rrc rId="1225" sId="1" ref="A361:XFD361" action="insertRow">
    <undo index="65535" exp="area" ref3D="1" dr="$A$874:$XFD$876" dn="Z_1CA6CCC9_64EF_4CA9_9C9C_1E572976D134_.wvu.Rows" sId="1"/>
    <undo index="65535" exp="area" ref3D="1" dr="$A$869:$XFD$871" dn="Z_1CA6CCC9_64EF_4CA9_9C9C_1E572976D134_.wvu.Rows" sId="1"/>
    <undo index="65535" exp="area" ref3D="1" dr="$A$846:$XFD$866" dn="Z_1CA6CCC9_64EF_4CA9_9C9C_1E572976D134_.wvu.Rows" sId="1"/>
    <undo index="65535" exp="area" ref3D="1" dr="$A$826:$XFD$844" dn="Z_1CA6CCC9_64EF_4CA9_9C9C_1E572976D134_.wvu.Rows" sId="1"/>
    <undo index="65535" exp="area" ref3D="1" dr="$A$820:$XFD$824" dn="Z_1CA6CCC9_64EF_4CA9_9C9C_1E572976D134_.wvu.Rows" sId="1"/>
    <undo index="65535" exp="area" ref3D="1" dr="$A$788:$XFD$817" dn="Z_1CA6CCC9_64EF_4CA9_9C9C_1E572976D134_.wvu.Rows" sId="1"/>
    <undo index="65535" exp="area" ref3D="1" dr="$A$773:$XFD$786" dn="Z_1CA6CCC9_64EF_4CA9_9C9C_1E572976D134_.wvu.Rows" sId="1"/>
    <undo index="65535" exp="area" ref3D="1" dr="$A$769:$XFD$771" dn="Z_1CA6CCC9_64EF_4CA9_9C9C_1E572976D134_.wvu.Rows" sId="1"/>
    <undo index="65535" exp="area" ref3D="1" dr="$A$745:$XFD$766" dn="Z_1CA6CCC9_64EF_4CA9_9C9C_1E572976D134_.wvu.Rows" sId="1"/>
    <undo index="65535" exp="area" ref3D="1" dr="$A$724:$XFD$743" dn="Z_1CA6CCC9_64EF_4CA9_9C9C_1E572976D134_.wvu.Rows" sId="1"/>
    <undo index="65535" exp="area" ref3D="1" dr="$A$672:$XFD$721" dn="Z_1CA6CCC9_64EF_4CA9_9C9C_1E572976D134_.wvu.Rows" sId="1"/>
    <undo index="65535" exp="area" ref3D="1" dr="$A$654:$XFD$670" dn="Z_1CA6CCC9_64EF_4CA9_9C9C_1E572976D134_.wvu.Rows" sId="1"/>
    <undo index="65535" exp="area" ref3D="1" dr="$A$631:$XFD$652" dn="Z_1CA6CCC9_64EF_4CA9_9C9C_1E572976D134_.wvu.Rows" sId="1"/>
    <undo index="65535" exp="area" ref3D="1" dr="$A$566:$XFD$629" dn="Z_1CA6CCC9_64EF_4CA9_9C9C_1E572976D134_.wvu.Rows" sId="1"/>
    <undo index="65535" exp="area" ref3D="1" dr="$A$544:$XFD$564" dn="Z_1CA6CCC9_64EF_4CA9_9C9C_1E572976D134_.wvu.Rows" sId="1"/>
    <undo index="65535" exp="area" ref3D="1" dr="$A$537:$XFD$541" dn="Z_1CA6CCC9_64EF_4CA9_9C9C_1E572976D134_.wvu.Rows" sId="1"/>
    <undo index="65535" exp="area" ref3D="1" dr="$A$515:$XFD$534" dn="Z_1CA6CCC9_64EF_4CA9_9C9C_1E572976D134_.wvu.Rows" sId="1"/>
    <undo index="65535" exp="area" ref3D="1" dr="$A$434:$XFD$513" dn="Z_1CA6CCC9_64EF_4CA9_9C9C_1E572976D134_.wvu.Rows" sId="1"/>
    <undo index="65535" exp="area" ref3D="1" dr="$A$328:$XFD$432" dn="Z_1CA6CCC9_64EF_4CA9_9C9C_1E572976D134_.wvu.Rows" sId="1"/>
  </rrc>
  <rrc rId="1226" sId="1" ref="A361:XFD361" action="insertRow">
    <undo index="65535" exp="area" ref3D="1" dr="$A$875:$XFD$877" dn="Z_1CA6CCC9_64EF_4CA9_9C9C_1E572976D134_.wvu.Rows" sId="1"/>
    <undo index="65535" exp="area" ref3D="1" dr="$A$870:$XFD$872" dn="Z_1CA6CCC9_64EF_4CA9_9C9C_1E572976D134_.wvu.Rows" sId="1"/>
    <undo index="65535" exp="area" ref3D="1" dr="$A$847:$XFD$867" dn="Z_1CA6CCC9_64EF_4CA9_9C9C_1E572976D134_.wvu.Rows" sId="1"/>
    <undo index="65535" exp="area" ref3D="1" dr="$A$827:$XFD$845" dn="Z_1CA6CCC9_64EF_4CA9_9C9C_1E572976D134_.wvu.Rows" sId="1"/>
    <undo index="65535" exp="area" ref3D="1" dr="$A$821:$XFD$825" dn="Z_1CA6CCC9_64EF_4CA9_9C9C_1E572976D134_.wvu.Rows" sId="1"/>
    <undo index="65535" exp="area" ref3D="1" dr="$A$789:$XFD$818" dn="Z_1CA6CCC9_64EF_4CA9_9C9C_1E572976D134_.wvu.Rows" sId="1"/>
    <undo index="65535" exp="area" ref3D="1" dr="$A$774:$XFD$787" dn="Z_1CA6CCC9_64EF_4CA9_9C9C_1E572976D134_.wvu.Rows" sId="1"/>
    <undo index="65535" exp="area" ref3D="1" dr="$A$770:$XFD$772" dn="Z_1CA6CCC9_64EF_4CA9_9C9C_1E572976D134_.wvu.Rows" sId="1"/>
    <undo index="65535" exp="area" ref3D="1" dr="$A$746:$XFD$767" dn="Z_1CA6CCC9_64EF_4CA9_9C9C_1E572976D134_.wvu.Rows" sId="1"/>
    <undo index="65535" exp="area" ref3D="1" dr="$A$725:$XFD$744" dn="Z_1CA6CCC9_64EF_4CA9_9C9C_1E572976D134_.wvu.Rows" sId="1"/>
    <undo index="65535" exp="area" ref3D="1" dr="$A$673:$XFD$722" dn="Z_1CA6CCC9_64EF_4CA9_9C9C_1E572976D134_.wvu.Rows" sId="1"/>
    <undo index="65535" exp="area" ref3D="1" dr="$A$655:$XFD$671" dn="Z_1CA6CCC9_64EF_4CA9_9C9C_1E572976D134_.wvu.Rows" sId="1"/>
    <undo index="65535" exp="area" ref3D="1" dr="$A$632:$XFD$653" dn="Z_1CA6CCC9_64EF_4CA9_9C9C_1E572976D134_.wvu.Rows" sId="1"/>
    <undo index="65535" exp="area" ref3D="1" dr="$A$567:$XFD$630" dn="Z_1CA6CCC9_64EF_4CA9_9C9C_1E572976D134_.wvu.Rows" sId="1"/>
    <undo index="65535" exp="area" ref3D="1" dr="$A$545:$XFD$565" dn="Z_1CA6CCC9_64EF_4CA9_9C9C_1E572976D134_.wvu.Rows" sId="1"/>
    <undo index="65535" exp="area" ref3D="1" dr="$A$538:$XFD$542" dn="Z_1CA6CCC9_64EF_4CA9_9C9C_1E572976D134_.wvu.Rows" sId="1"/>
    <undo index="65535" exp="area" ref3D="1" dr="$A$516:$XFD$535" dn="Z_1CA6CCC9_64EF_4CA9_9C9C_1E572976D134_.wvu.Rows" sId="1"/>
    <undo index="65535" exp="area" ref3D="1" dr="$A$435:$XFD$514" dn="Z_1CA6CCC9_64EF_4CA9_9C9C_1E572976D134_.wvu.Rows" sId="1"/>
    <undo index="65535" exp="area" ref3D="1" dr="$A$328:$XFD$433" dn="Z_1CA6CCC9_64EF_4CA9_9C9C_1E572976D134_.wvu.Rows" sId="1"/>
  </rrc>
  <rrc rId="1227" sId="1" ref="A361:XFD361" action="insertRow">
    <undo index="65535" exp="area" ref3D="1" dr="$A$876:$XFD$878" dn="Z_1CA6CCC9_64EF_4CA9_9C9C_1E572976D134_.wvu.Rows" sId="1"/>
    <undo index="65535" exp="area" ref3D="1" dr="$A$871:$XFD$873" dn="Z_1CA6CCC9_64EF_4CA9_9C9C_1E572976D134_.wvu.Rows" sId="1"/>
    <undo index="65535" exp="area" ref3D="1" dr="$A$848:$XFD$868" dn="Z_1CA6CCC9_64EF_4CA9_9C9C_1E572976D134_.wvu.Rows" sId="1"/>
    <undo index="65535" exp="area" ref3D="1" dr="$A$828:$XFD$846" dn="Z_1CA6CCC9_64EF_4CA9_9C9C_1E572976D134_.wvu.Rows" sId="1"/>
    <undo index="65535" exp="area" ref3D="1" dr="$A$822:$XFD$826" dn="Z_1CA6CCC9_64EF_4CA9_9C9C_1E572976D134_.wvu.Rows" sId="1"/>
    <undo index="65535" exp="area" ref3D="1" dr="$A$790:$XFD$819" dn="Z_1CA6CCC9_64EF_4CA9_9C9C_1E572976D134_.wvu.Rows" sId="1"/>
    <undo index="65535" exp="area" ref3D="1" dr="$A$775:$XFD$788" dn="Z_1CA6CCC9_64EF_4CA9_9C9C_1E572976D134_.wvu.Rows" sId="1"/>
    <undo index="65535" exp="area" ref3D="1" dr="$A$771:$XFD$773" dn="Z_1CA6CCC9_64EF_4CA9_9C9C_1E572976D134_.wvu.Rows" sId="1"/>
    <undo index="65535" exp="area" ref3D="1" dr="$A$747:$XFD$768" dn="Z_1CA6CCC9_64EF_4CA9_9C9C_1E572976D134_.wvu.Rows" sId="1"/>
    <undo index="65535" exp="area" ref3D="1" dr="$A$726:$XFD$745" dn="Z_1CA6CCC9_64EF_4CA9_9C9C_1E572976D134_.wvu.Rows" sId="1"/>
    <undo index="65535" exp="area" ref3D="1" dr="$A$674:$XFD$723" dn="Z_1CA6CCC9_64EF_4CA9_9C9C_1E572976D134_.wvu.Rows" sId="1"/>
    <undo index="65535" exp="area" ref3D="1" dr="$A$656:$XFD$672" dn="Z_1CA6CCC9_64EF_4CA9_9C9C_1E572976D134_.wvu.Rows" sId="1"/>
    <undo index="65535" exp="area" ref3D="1" dr="$A$633:$XFD$654" dn="Z_1CA6CCC9_64EF_4CA9_9C9C_1E572976D134_.wvu.Rows" sId="1"/>
    <undo index="65535" exp="area" ref3D="1" dr="$A$568:$XFD$631" dn="Z_1CA6CCC9_64EF_4CA9_9C9C_1E572976D134_.wvu.Rows" sId="1"/>
    <undo index="65535" exp="area" ref3D="1" dr="$A$546:$XFD$566" dn="Z_1CA6CCC9_64EF_4CA9_9C9C_1E572976D134_.wvu.Rows" sId="1"/>
    <undo index="65535" exp="area" ref3D="1" dr="$A$539:$XFD$543" dn="Z_1CA6CCC9_64EF_4CA9_9C9C_1E572976D134_.wvu.Rows" sId="1"/>
    <undo index="65535" exp="area" ref3D="1" dr="$A$517:$XFD$536" dn="Z_1CA6CCC9_64EF_4CA9_9C9C_1E572976D134_.wvu.Rows" sId="1"/>
    <undo index="65535" exp="area" ref3D="1" dr="$A$436:$XFD$515" dn="Z_1CA6CCC9_64EF_4CA9_9C9C_1E572976D134_.wvu.Rows" sId="1"/>
    <undo index="65535" exp="area" ref3D="1" dr="$A$328:$XFD$434" dn="Z_1CA6CCC9_64EF_4CA9_9C9C_1E572976D134_.wvu.Rows" sId="1"/>
  </rrc>
  <rrc rId="1228" sId="1" ref="A361:XFD362" action="insertRow">
    <undo index="65535" exp="area" ref3D="1" dr="$A$877:$XFD$879" dn="Z_1CA6CCC9_64EF_4CA9_9C9C_1E572976D134_.wvu.Rows" sId="1"/>
    <undo index="65535" exp="area" ref3D="1" dr="$A$872:$XFD$874" dn="Z_1CA6CCC9_64EF_4CA9_9C9C_1E572976D134_.wvu.Rows" sId="1"/>
    <undo index="65535" exp="area" ref3D="1" dr="$A$849:$XFD$869" dn="Z_1CA6CCC9_64EF_4CA9_9C9C_1E572976D134_.wvu.Rows" sId="1"/>
    <undo index="65535" exp="area" ref3D="1" dr="$A$829:$XFD$847" dn="Z_1CA6CCC9_64EF_4CA9_9C9C_1E572976D134_.wvu.Rows" sId="1"/>
    <undo index="65535" exp="area" ref3D="1" dr="$A$823:$XFD$827" dn="Z_1CA6CCC9_64EF_4CA9_9C9C_1E572976D134_.wvu.Rows" sId="1"/>
    <undo index="65535" exp="area" ref3D="1" dr="$A$791:$XFD$820" dn="Z_1CA6CCC9_64EF_4CA9_9C9C_1E572976D134_.wvu.Rows" sId="1"/>
    <undo index="65535" exp="area" ref3D="1" dr="$A$776:$XFD$789" dn="Z_1CA6CCC9_64EF_4CA9_9C9C_1E572976D134_.wvu.Rows" sId="1"/>
    <undo index="65535" exp="area" ref3D="1" dr="$A$772:$XFD$774" dn="Z_1CA6CCC9_64EF_4CA9_9C9C_1E572976D134_.wvu.Rows" sId="1"/>
    <undo index="65535" exp="area" ref3D="1" dr="$A$748:$XFD$769" dn="Z_1CA6CCC9_64EF_4CA9_9C9C_1E572976D134_.wvu.Rows" sId="1"/>
    <undo index="65535" exp="area" ref3D="1" dr="$A$727:$XFD$746" dn="Z_1CA6CCC9_64EF_4CA9_9C9C_1E572976D134_.wvu.Rows" sId="1"/>
    <undo index="65535" exp="area" ref3D="1" dr="$A$675:$XFD$724" dn="Z_1CA6CCC9_64EF_4CA9_9C9C_1E572976D134_.wvu.Rows" sId="1"/>
    <undo index="65535" exp="area" ref3D="1" dr="$A$657:$XFD$673" dn="Z_1CA6CCC9_64EF_4CA9_9C9C_1E572976D134_.wvu.Rows" sId="1"/>
    <undo index="65535" exp="area" ref3D="1" dr="$A$634:$XFD$655" dn="Z_1CA6CCC9_64EF_4CA9_9C9C_1E572976D134_.wvu.Rows" sId="1"/>
    <undo index="65535" exp="area" ref3D="1" dr="$A$569:$XFD$632" dn="Z_1CA6CCC9_64EF_4CA9_9C9C_1E572976D134_.wvu.Rows" sId="1"/>
    <undo index="65535" exp="area" ref3D="1" dr="$A$547:$XFD$567" dn="Z_1CA6CCC9_64EF_4CA9_9C9C_1E572976D134_.wvu.Rows" sId="1"/>
    <undo index="65535" exp="area" ref3D="1" dr="$A$540:$XFD$544" dn="Z_1CA6CCC9_64EF_4CA9_9C9C_1E572976D134_.wvu.Rows" sId="1"/>
    <undo index="65535" exp="area" ref3D="1" dr="$A$518:$XFD$537" dn="Z_1CA6CCC9_64EF_4CA9_9C9C_1E572976D134_.wvu.Rows" sId="1"/>
    <undo index="65535" exp="area" ref3D="1" dr="$A$437:$XFD$516" dn="Z_1CA6CCC9_64EF_4CA9_9C9C_1E572976D134_.wvu.Rows" sId="1"/>
    <undo index="65535" exp="area" ref3D="1" dr="$A$328:$XFD$435" dn="Z_1CA6CCC9_64EF_4CA9_9C9C_1E572976D134_.wvu.Rows" sId="1"/>
  </rrc>
  <rcc rId="1229" sId="1" odxf="1" s="1" dxf="1">
    <nc r="A361" t="inlineStr">
      <is>
    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30" sId="1" odxf="1" s="1" dxf="1">
    <nc r="A362" t="inlineStr">
      <is>
        <t>Капитальные вложения в объекты государственной (муниципальной) собственности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1" sId="1" odxf="1" s="1" dxf="1">
    <nc r="A363" t="inlineStr">
      <is>
    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32" sId="1" odxf="1" s="1" dxf="1">
    <nc r="A364" t="inlineStr">
      <is>
        <t>Капитальные вложения в объекты государственной (муниципальной) собственности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3" sId="1" odxf="1" s="1" dxf="1">
    <nc r="A365" t="inlineStr">
      <is>
    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34" sId="1" odxf="1" s="1" dxf="1">
    <nc r="A366" t="inlineStr">
      <is>
        <t>Капитальные вложения в объекты государственной (муниципальной) собственности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5" sId="1" odxf="1" s="1" dxf="1">
    <nc r="B361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6" sId="1" odxf="1" s="1" dxf="1">
    <nc r="C361" t="inlineStr">
      <is>
        <t>03 2 01 S0661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D361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37" sId="1" odxf="1" s="1" dxf="1">
    <nc r="B362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8" sId="1" odxf="1" s="1" dxf="1">
    <nc r="C362" t="inlineStr">
      <is>
        <t>03 2 01 S0661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39" sId="1" odxf="1" s="1" dxf="1">
    <nc r="D362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0" sId="1" odxf="1" s="1" dxf="1">
    <nc r="B363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1" sId="1" odxf="1" s="1" dxf="1">
    <nc r="C363" t="inlineStr">
      <is>
        <t>03 2 01 S0662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D36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42" sId="1" odxf="1" s="1" dxf="1">
    <nc r="B364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3" sId="1" odxf="1" s="1" dxf="1">
    <nc r="C364" t="inlineStr">
      <is>
        <t>03 2 01 S0662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4" sId="1" odxf="1" s="1" dxf="1">
    <nc r="D364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5" sId="1" odxf="1" s="1" dxf="1">
    <nc r="B365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6" sId="1" odxf="1" s="1" dxf="1">
    <nc r="C365" t="inlineStr">
      <is>
        <t>03 2 01 S0663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D36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47" sId="1" odxf="1" s="1" dxf="1">
    <nc r="B366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8" sId="1" odxf="1" s="1" dxf="1">
    <nc r="C366" t="inlineStr">
      <is>
        <t>03 2 01 S0663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9" sId="1" odxf="1" s="1" dxf="1">
    <nc r="D366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50" sId="1" numFmtId="4">
    <nc r="E362">
      <v>24930.6</v>
    </nc>
  </rcc>
  <rcc rId="1251" sId="1" numFmtId="4">
    <nc r="E364">
      <v>21160.799999999999</v>
    </nc>
  </rcc>
  <rcc rId="1252" sId="1" numFmtId="4">
    <nc r="E366">
      <v>24858.5</v>
    </nc>
  </rcc>
  <rcc rId="1253" sId="1">
    <nc r="E365">
      <f>+E366</f>
    </nc>
  </rcc>
  <rcc rId="1254" sId="1">
    <nc r="E363">
      <f>+E364</f>
    </nc>
  </rcc>
  <rcc rId="1255" sId="1">
    <nc r="E361">
      <f>+E362</f>
    </nc>
  </rcc>
  <rcc rId="1256" sId="1">
    <nc r="F361">
      <f>+F362</f>
    </nc>
  </rcc>
  <rcc rId="1257" sId="1">
    <nc r="G361">
      <f>+G362</f>
    </nc>
  </rcc>
  <rcc rId="1258" sId="1">
    <nc r="F363">
      <f>+F364</f>
    </nc>
  </rcc>
  <rcc rId="1259" sId="1">
    <nc r="G363">
      <f>+G364</f>
    </nc>
  </rcc>
  <rcc rId="1260" sId="1">
    <nc r="F365">
      <f>+F366</f>
    </nc>
  </rcc>
  <rcc rId="1261" sId="1">
    <nc r="G365">
      <f>+G366</f>
    </nc>
  </rcc>
  <rcc rId="1262" sId="1">
    <oc r="E368">
      <v>35728.400000000023</v>
    </oc>
    <nc r="E368">
      <f>35728.4-25425.5-722.8</f>
    </nc>
  </rcc>
  <rcc rId="1263" sId="1">
    <oc r="E370">
      <v>43107.4</v>
    </oc>
    <nc r="E370">
      <f>43107.4+10146.6+647.7</f>
    </nc>
  </rcc>
  <rcc rId="1264" sId="1">
    <oc r="E380">
      <v>46337.9</v>
    </oc>
    <nc r="E380">
      <f>46337.9-43557.6-2780.3</f>
    </nc>
  </rcc>
  <rfmt sheetId="1" sqref="A379:A380">
    <dxf>
      <fill>
        <patternFill patternType="solid">
          <bgColor theme="5" tint="0.59999389629810485"/>
        </patternFill>
      </fill>
    </dxf>
  </rfmt>
  <rcc rId="1265" sId="1">
    <oc r="E394">
      <v>37054.300000000003</v>
    </oc>
    <nc r="E394">
      <f>37054.3+3359.7+214.4</f>
    </nc>
  </rcc>
  <rcc rId="1266" sId="1">
    <oc r="E400">
      <v>57328.3</v>
    </oc>
    <nc r="E400">
      <f>57328.3-10538.6-672.7</f>
    </nc>
  </rcc>
  <rcc rId="1267" sId="1">
    <oc r="E402">
      <v>33723</v>
    </oc>
    <nc r="E402">
      <f>33723+10538.6+672.7</f>
    </nc>
  </rcc>
  <rrc rId="1268" sId="1" ref="A419:XFD419" action="insertRow">
    <undo index="65535" exp="area" ref3D="1" dr="$A$879:$XFD$881" dn="Z_1CA6CCC9_64EF_4CA9_9C9C_1E572976D134_.wvu.Rows" sId="1"/>
    <undo index="65535" exp="area" ref3D="1" dr="$A$874:$XFD$876" dn="Z_1CA6CCC9_64EF_4CA9_9C9C_1E572976D134_.wvu.Rows" sId="1"/>
    <undo index="65535" exp="area" ref3D="1" dr="$A$851:$XFD$871" dn="Z_1CA6CCC9_64EF_4CA9_9C9C_1E572976D134_.wvu.Rows" sId="1"/>
    <undo index="65535" exp="area" ref3D="1" dr="$A$831:$XFD$849" dn="Z_1CA6CCC9_64EF_4CA9_9C9C_1E572976D134_.wvu.Rows" sId="1"/>
    <undo index="65535" exp="area" ref3D="1" dr="$A$825:$XFD$829" dn="Z_1CA6CCC9_64EF_4CA9_9C9C_1E572976D134_.wvu.Rows" sId="1"/>
    <undo index="65535" exp="area" ref3D="1" dr="$A$793:$XFD$822" dn="Z_1CA6CCC9_64EF_4CA9_9C9C_1E572976D134_.wvu.Rows" sId="1"/>
    <undo index="65535" exp="area" ref3D="1" dr="$A$778:$XFD$791" dn="Z_1CA6CCC9_64EF_4CA9_9C9C_1E572976D134_.wvu.Rows" sId="1"/>
    <undo index="65535" exp="area" ref3D="1" dr="$A$774:$XFD$776" dn="Z_1CA6CCC9_64EF_4CA9_9C9C_1E572976D134_.wvu.Rows" sId="1"/>
    <undo index="65535" exp="area" ref3D="1" dr="$A$750:$XFD$771" dn="Z_1CA6CCC9_64EF_4CA9_9C9C_1E572976D134_.wvu.Rows" sId="1"/>
    <undo index="65535" exp="area" ref3D="1" dr="$A$729:$XFD$748" dn="Z_1CA6CCC9_64EF_4CA9_9C9C_1E572976D134_.wvu.Rows" sId="1"/>
    <undo index="65535" exp="area" ref3D="1" dr="$A$677:$XFD$726" dn="Z_1CA6CCC9_64EF_4CA9_9C9C_1E572976D134_.wvu.Rows" sId="1"/>
    <undo index="65535" exp="area" ref3D="1" dr="$A$659:$XFD$675" dn="Z_1CA6CCC9_64EF_4CA9_9C9C_1E572976D134_.wvu.Rows" sId="1"/>
    <undo index="65535" exp="area" ref3D="1" dr="$A$636:$XFD$657" dn="Z_1CA6CCC9_64EF_4CA9_9C9C_1E572976D134_.wvu.Rows" sId="1"/>
    <undo index="65535" exp="area" ref3D="1" dr="$A$571:$XFD$634" dn="Z_1CA6CCC9_64EF_4CA9_9C9C_1E572976D134_.wvu.Rows" sId="1"/>
    <undo index="65535" exp="area" ref3D="1" dr="$A$549:$XFD$569" dn="Z_1CA6CCC9_64EF_4CA9_9C9C_1E572976D134_.wvu.Rows" sId="1"/>
    <undo index="65535" exp="area" ref3D="1" dr="$A$542:$XFD$546" dn="Z_1CA6CCC9_64EF_4CA9_9C9C_1E572976D134_.wvu.Rows" sId="1"/>
    <undo index="65535" exp="area" ref3D="1" dr="$A$520:$XFD$539" dn="Z_1CA6CCC9_64EF_4CA9_9C9C_1E572976D134_.wvu.Rows" sId="1"/>
    <undo index="65535" exp="area" ref3D="1" dr="$A$439:$XFD$518" dn="Z_1CA6CCC9_64EF_4CA9_9C9C_1E572976D134_.wvu.Rows" sId="1"/>
    <undo index="65535" exp="area" ref3D="1" dr="$A$328:$XFD$437" dn="Z_1CA6CCC9_64EF_4CA9_9C9C_1E572976D134_.wvu.Rows" sId="1"/>
  </rrc>
  <rrc rId="1269" sId="1" ref="A419:XFD419" action="insertRow">
    <undo index="65535" exp="area" ref3D="1" dr="$A$880:$XFD$882" dn="Z_1CA6CCC9_64EF_4CA9_9C9C_1E572976D134_.wvu.Rows" sId="1"/>
    <undo index="65535" exp="area" ref3D="1" dr="$A$875:$XFD$877" dn="Z_1CA6CCC9_64EF_4CA9_9C9C_1E572976D134_.wvu.Rows" sId="1"/>
    <undo index="65535" exp="area" ref3D="1" dr="$A$852:$XFD$872" dn="Z_1CA6CCC9_64EF_4CA9_9C9C_1E572976D134_.wvu.Rows" sId="1"/>
    <undo index="65535" exp="area" ref3D="1" dr="$A$832:$XFD$850" dn="Z_1CA6CCC9_64EF_4CA9_9C9C_1E572976D134_.wvu.Rows" sId="1"/>
    <undo index="65535" exp="area" ref3D="1" dr="$A$826:$XFD$830" dn="Z_1CA6CCC9_64EF_4CA9_9C9C_1E572976D134_.wvu.Rows" sId="1"/>
    <undo index="65535" exp="area" ref3D="1" dr="$A$794:$XFD$823" dn="Z_1CA6CCC9_64EF_4CA9_9C9C_1E572976D134_.wvu.Rows" sId="1"/>
    <undo index="65535" exp="area" ref3D="1" dr="$A$779:$XFD$792" dn="Z_1CA6CCC9_64EF_4CA9_9C9C_1E572976D134_.wvu.Rows" sId="1"/>
    <undo index="65535" exp="area" ref3D="1" dr="$A$775:$XFD$777" dn="Z_1CA6CCC9_64EF_4CA9_9C9C_1E572976D134_.wvu.Rows" sId="1"/>
    <undo index="65535" exp="area" ref3D="1" dr="$A$751:$XFD$772" dn="Z_1CA6CCC9_64EF_4CA9_9C9C_1E572976D134_.wvu.Rows" sId="1"/>
    <undo index="65535" exp="area" ref3D="1" dr="$A$730:$XFD$749" dn="Z_1CA6CCC9_64EF_4CA9_9C9C_1E572976D134_.wvu.Rows" sId="1"/>
    <undo index="65535" exp="area" ref3D="1" dr="$A$678:$XFD$727" dn="Z_1CA6CCC9_64EF_4CA9_9C9C_1E572976D134_.wvu.Rows" sId="1"/>
    <undo index="65535" exp="area" ref3D="1" dr="$A$660:$XFD$676" dn="Z_1CA6CCC9_64EF_4CA9_9C9C_1E572976D134_.wvu.Rows" sId="1"/>
    <undo index="65535" exp="area" ref3D="1" dr="$A$637:$XFD$658" dn="Z_1CA6CCC9_64EF_4CA9_9C9C_1E572976D134_.wvu.Rows" sId="1"/>
    <undo index="65535" exp="area" ref3D="1" dr="$A$572:$XFD$635" dn="Z_1CA6CCC9_64EF_4CA9_9C9C_1E572976D134_.wvu.Rows" sId="1"/>
    <undo index="65535" exp="area" ref3D="1" dr="$A$550:$XFD$570" dn="Z_1CA6CCC9_64EF_4CA9_9C9C_1E572976D134_.wvu.Rows" sId="1"/>
    <undo index="65535" exp="area" ref3D="1" dr="$A$543:$XFD$547" dn="Z_1CA6CCC9_64EF_4CA9_9C9C_1E572976D134_.wvu.Rows" sId="1"/>
    <undo index="65535" exp="area" ref3D="1" dr="$A$521:$XFD$540" dn="Z_1CA6CCC9_64EF_4CA9_9C9C_1E572976D134_.wvu.Rows" sId="1"/>
    <undo index="65535" exp="area" ref3D="1" dr="$A$440:$XFD$519" dn="Z_1CA6CCC9_64EF_4CA9_9C9C_1E572976D134_.wvu.Rows" sId="1"/>
    <undo index="65535" exp="area" ref3D="1" dr="$A$328:$XFD$438" dn="Z_1CA6CCC9_64EF_4CA9_9C9C_1E572976D134_.wvu.Rows" sId="1"/>
  </rrc>
  <rrc rId="1270" sId="1" ref="A419:XFD419" action="insertRow">
    <undo index="65535" exp="area" ref3D="1" dr="$A$881:$XFD$883" dn="Z_1CA6CCC9_64EF_4CA9_9C9C_1E572976D134_.wvu.Rows" sId="1"/>
    <undo index="65535" exp="area" ref3D="1" dr="$A$876:$XFD$878" dn="Z_1CA6CCC9_64EF_4CA9_9C9C_1E572976D134_.wvu.Rows" sId="1"/>
    <undo index="65535" exp="area" ref3D="1" dr="$A$853:$XFD$873" dn="Z_1CA6CCC9_64EF_4CA9_9C9C_1E572976D134_.wvu.Rows" sId="1"/>
    <undo index="65535" exp="area" ref3D="1" dr="$A$833:$XFD$851" dn="Z_1CA6CCC9_64EF_4CA9_9C9C_1E572976D134_.wvu.Rows" sId="1"/>
    <undo index="65535" exp="area" ref3D="1" dr="$A$827:$XFD$831" dn="Z_1CA6CCC9_64EF_4CA9_9C9C_1E572976D134_.wvu.Rows" sId="1"/>
    <undo index="65535" exp="area" ref3D="1" dr="$A$795:$XFD$824" dn="Z_1CA6CCC9_64EF_4CA9_9C9C_1E572976D134_.wvu.Rows" sId="1"/>
    <undo index="65535" exp="area" ref3D="1" dr="$A$780:$XFD$793" dn="Z_1CA6CCC9_64EF_4CA9_9C9C_1E572976D134_.wvu.Rows" sId="1"/>
    <undo index="65535" exp="area" ref3D="1" dr="$A$776:$XFD$778" dn="Z_1CA6CCC9_64EF_4CA9_9C9C_1E572976D134_.wvu.Rows" sId="1"/>
    <undo index="65535" exp="area" ref3D="1" dr="$A$752:$XFD$773" dn="Z_1CA6CCC9_64EF_4CA9_9C9C_1E572976D134_.wvu.Rows" sId="1"/>
    <undo index="65535" exp="area" ref3D="1" dr="$A$731:$XFD$750" dn="Z_1CA6CCC9_64EF_4CA9_9C9C_1E572976D134_.wvu.Rows" sId="1"/>
    <undo index="65535" exp="area" ref3D="1" dr="$A$679:$XFD$728" dn="Z_1CA6CCC9_64EF_4CA9_9C9C_1E572976D134_.wvu.Rows" sId="1"/>
    <undo index="65535" exp="area" ref3D="1" dr="$A$661:$XFD$677" dn="Z_1CA6CCC9_64EF_4CA9_9C9C_1E572976D134_.wvu.Rows" sId="1"/>
    <undo index="65535" exp="area" ref3D="1" dr="$A$638:$XFD$659" dn="Z_1CA6CCC9_64EF_4CA9_9C9C_1E572976D134_.wvu.Rows" sId="1"/>
    <undo index="65535" exp="area" ref3D="1" dr="$A$573:$XFD$636" dn="Z_1CA6CCC9_64EF_4CA9_9C9C_1E572976D134_.wvu.Rows" sId="1"/>
    <undo index="65535" exp="area" ref3D="1" dr="$A$551:$XFD$571" dn="Z_1CA6CCC9_64EF_4CA9_9C9C_1E572976D134_.wvu.Rows" sId="1"/>
    <undo index="65535" exp="area" ref3D="1" dr="$A$544:$XFD$548" dn="Z_1CA6CCC9_64EF_4CA9_9C9C_1E572976D134_.wvu.Rows" sId="1"/>
    <undo index="65535" exp="area" ref3D="1" dr="$A$522:$XFD$541" dn="Z_1CA6CCC9_64EF_4CA9_9C9C_1E572976D134_.wvu.Rows" sId="1"/>
    <undo index="65535" exp="area" ref3D="1" dr="$A$441:$XFD$520" dn="Z_1CA6CCC9_64EF_4CA9_9C9C_1E572976D134_.wvu.Rows" sId="1"/>
    <undo index="65535" exp="area" ref3D="1" dr="$A$328:$XFD$439" dn="Z_1CA6CCC9_64EF_4CA9_9C9C_1E572976D134_.wvu.Rows" sId="1"/>
  </rrc>
  <rrc rId="1271" sId="1" ref="A419:XFD419" action="insertRow">
    <undo index="65535" exp="area" ref3D="1" dr="$A$882:$XFD$884" dn="Z_1CA6CCC9_64EF_4CA9_9C9C_1E572976D134_.wvu.Rows" sId="1"/>
    <undo index="65535" exp="area" ref3D="1" dr="$A$877:$XFD$879" dn="Z_1CA6CCC9_64EF_4CA9_9C9C_1E572976D134_.wvu.Rows" sId="1"/>
    <undo index="65535" exp="area" ref3D="1" dr="$A$854:$XFD$874" dn="Z_1CA6CCC9_64EF_4CA9_9C9C_1E572976D134_.wvu.Rows" sId="1"/>
    <undo index="65535" exp="area" ref3D="1" dr="$A$834:$XFD$852" dn="Z_1CA6CCC9_64EF_4CA9_9C9C_1E572976D134_.wvu.Rows" sId="1"/>
    <undo index="65535" exp="area" ref3D="1" dr="$A$828:$XFD$832" dn="Z_1CA6CCC9_64EF_4CA9_9C9C_1E572976D134_.wvu.Rows" sId="1"/>
    <undo index="65535" exp="area" ref3D="1" dr="$A$796:$XFD$825" dn="Z_1CA6CCC9_64EF_4CA9_9C9C_1E572976D134_.wvu.Rows" sId="1"/>
    <undo index="65535" exp="area" ref3D="1" dr="$A$781:$XFD$794" dn="Z_1CA6CCC9_64EF_4CA9_9C9C_1E572976D134_.wvu.Rows" sId="1"/>
    <undo index="65535" exp="area" ref3D="1" dr="$A$777:$XFD$779" dn="Z_1CA6CCC9_64EF_4CA9_9C9C_1E572976D134_.wvu.Rows" sId="1"/>
    <undo index="65535" exp="area" ref3D="1" dr="$A$753:$XFD$774" dn="Z_1CA6CCC9_64EF_4CA9_9C9C_1E572976D134_.wvu.Rows" sId="1"/>
    <undo index="65535" exp="area" ref3D="1" dr="$A$732:$XFD$751" dn="Z_1CA6CCC9_64EF_4CA9_9C9C_1E572976D134_.wvu.Rows" sId="1"/>
    <undo index="65535" exp="area" ref3D="1" dr="$A$680:$XFD$729" dn="Z_1CA6CCC9_64EF_4CA9_9C9C_1E572976D134_.wvu.Rows" sId="1"/>
    <undo index="65535" exp="area" ref3D="1" dr="$A$662:$XFD$678" dn="Z_1CA6CCC9_64EF_4CA9_9C9C_1E572976D134_.wvu.Rows" sId="1"/>
    <undo index="65535" exp="area" ref3D="1" dr="$A$639:$XFD$660" dn="Z_1CA6CCC9_64EF_4CA9_9C9C_1E572976D134_.wvu.Rows" sId="1"/>
    <undo index="65535" exp="area" ref3D="1" dr="$A$574:$XFD$637" dn="Z_1CA6CCC9_64EF_4CA9_9C9C_1E572976D134_.wvu.Rows" sId="1"/>
    <undo index="65535" exp="area" ref3D="1" dr="$A$552:$XFD$572" dn="Z_1CA6CCC9_64EF_4CA9_9C9C_1E572976D134_.wvu.Rows" sId="1"/>
    <undo index="65535" exp="area" ref3D="1" dr="$A$545:$XFD$549" dn="Z_1CA6CCC9_64EF_4CA9_9C9C_1E572976D134_.wvu.Rows" sId="1"/>
    <undo index="65535" exp="area" ref3D="1" dr="$A$523:$XFD$542" dn="Z_1CA6CCC9_64EF_4CA9_9C9C_1E572976D134_.wvu.Rows" sId="1"/>
    <undo index="65535" exp="area" ref3D="1" dr="$A$442:$XFD$521" dn="Z_1CA6CCC9_64EF_4CA9_9C9C_1E572976D134_.wvu.Rows" sId="1"/>
    <undo index="65535" exp="area" ref3D="1" dr="$A$328:$XFD$440" dn="Z_1CA6CCC9_64EF_4CA9_9C9C_1E572976D134_.wvu.Rows" sId="1"/>
  </rrc>
  <rrc rId="1272" sId="1" ref="A419:XFD419" action="insertRow">
    <undo index="65535" exp="area" ref3D="1" dr="$A$883:$XFD$885" dn="Z_1CA6CCC9_64EF_4CA9_9C9C_1E572976D134_.wvu.Rows" sId="1"/>
    <undo index="65535" exp="area" ref3D="1" dr="$A$878:$XFD$880" dn="Z_1CA6CCC9_64EF_4CA9_9C9C_1E572976D134_.wvu.Rows" sId="1"/>
    <undo index="65535" exp="area" ref3D="1" dr="$A$855:$XFD$875" dn="Z_1CA6CCC9_64EF_4CA9_9C9C_1E572976D134_.wvu.Rows" sId="1"/>
    <undo index="65535" exp="area" ref3D="1" dr="$A$835:$XFD$853" dn="Z_1CA6CCC9_64EF_4CA9_9C9C_1E572976D134_.wvu.Rows" sId="1"/>
    <undo index="65535" exp="area" ref3D="1" dr="$A$829:$XFD$833" dn="Z_1CA6CCC9_64EF_4CA9_9C9C_1E572976D134_.wvu.Rows" sId="1"/>
    <undo index="65535" exp="area" ref3D="1" dr="$A$797:$XFD$826" dn="Z_1CA6CCC9_64EF_4CA9_9C9C_1E572976D134_.wvu.Rows" sId="1"/>
    <undo index="65535" exp="area" ref3D="1" dr="$A$782:$XFD$795" dn="Z_1CA6CCC9_64EF_4CA9_9C9C_1E572976D134_.wvu.Rows" sId="1"/>
    <undo index="65535" exp="area" ref3D="1" dr="$A$778:$XFD$780" dn="Z_1CA6CCC9_64EF_4CA9_9C9C_1E572976D134_.wvu.Rows" sId="1"/>
    <undo index="65535" exp="area" ref3D="1" dr="$A$754:$XFD$775" dn="Z_1CA6CCC9_64EF_4CA9_9C9C_1E572976D134_.wvu.Rows" sId="1"/>
    <undo index="65535" exp="area" ref3D="1" dr="$A$733:$XFD$752" dn="Z_1CA6CCC9_64EF_4CA9_9C9C_1E572976D134_.wvu.Rows" sId="1"/>
    <undo index="65535" exp="area" ref3D="1" dr="$A$681:$XFD$730" dn="Z_1CA6CCC9_64EF_4CA9_9C9C_1E572976D134_.wvu.Rows" sId="1"/>
    <undo index="65535" exp="area" ref3D="1" dr="$A$663:$XFD$679" dn="Z_1CA6CCC9_64EF_4CA9_9C9C_1E572976D134_.wvu.Rows" sId="1"/>
    <undo index="65535" exp="area" ref3D="1" dr="$A$640:$XFD$661" dn="Z_1CA6CCC9_64EF_4CA9_9C9C_1E572976D134_.wvu.Rows" sId="1"/>
    <undo index="65535" exp="area" ref3D="1" dr="$A$575:$XFD$638" dn="Z_1CA6CCC9_64EF_4CA9_9C9C_1E572976D134_.wvu.Rows" sId="1"/>
    <undo index="65535" exp="area" ref3D="1" dr="$A$553:$XFD$573" dn="Z_1CA6CCC9_64EF_4CA9_9C9C_1E572976D134_.wvu.Rows" sId="1"/>
    <undo index="65535" exp="area" ref3D="1" dr="$A$546:$XFD$550" dn="Z_1CA6CCC9_64EF_4CA9_9C9C_1E572976D134_.wvu.Rows" sId="1"/>
    <undo index="65535" exp="area" ref3D="1" dr="$A$524:$XFD$543" dn="Z_1CA6CCC9_64EF_4CA9_9C9C_1E572976D134_.wvu.Rows" sId="1"/>
    <undo index="65535" exp="area" ref3D="1" dr="$A$443:$XFD$522" dn="Z_1CA6CCC9_64EF_4CA9_9C9C_1E572976D134_.wvu.Rows" sId="1"/>
    <undo index="65535" exp="area" ref3D="1" dr="$A$328:$XFD$441" dn="Z_1CA6CCC9_64EF_4CA9_9C9C_1E572976D134_.wvu.Rows" sId="1"/>
  </rrc>
  <rrc rId="1273" sId="1" ref="A419:XFD419" action="insertRow">
    <undo index="65535" exp="area" ref3D="1" dr="$A$884:$XFD$886" dn="Z_1CA6CCC9_64EF_4CA9_9C9C_1E572976D134_.wvu.Rows" sId="1"/>
    <undo index="65535" exp="area" ref3D="1" dr="$A$879:$XFD$881" dn="Z_1CA6CCC9_64EF_4CA9_9C9C_1E572976D134_.wvu.Rows" sId="1"/>
    <undo index="65535" exp="area" ref3D="1" dr="$A$856:$XFD$876" dn="Z_1CA6CCC9_64EF_4CA9_9C9C_1E572976D134_.wvu.Rows" sId="1"/>
    <undo index="65535" exp="area" ref3D="1" dr="$A$836:$XFD$854" dn="Z_1CA6CCC9_64EF_4CA9_9C9C_1E572976D134_.wvu.Rows" sId="1"/>
    <undo index="65535" exp="area" ref3D="1" dr="$A$830:$XFD$834" dn="Z_1CA6CCC9_64EF_4CA9_9C9C_1E572976D134_.wvu.Rows" sId="1"/>
    <undo index="65535" exp="area" ref3D="1" dr="$A$798:$XFD$827" dn="Z_1CA6CCC9_64EF_4CA9_9C9C_1E572976D134_.wvu.Rows" sId="1"/>
    <undo index="65535" exp="area" ref3D="1" dr="$A$783:$XFD$796" dn="Z_1CA6CCC9_64EF_4CA9_9C9C_1E572976D134_.wvu.Rows" sId="1"/>
    <undo index="65535" exp="area" ref3D="1" dr="$A$779:$XFD$781" dn="Z_1CA6CCC9_64EF_4CA9_9C9C_1E572976D134_.wvu.Rows" sId="1"/>
    <undo index="65535" exp="area" ref3D="1" dr="$A$755:$XFD$776" dn="Z_1CA6CCC9_64EF_4CA9_9C9C_1E572976D134_.wvu.Rows" sId="1"/>
    <undo index="65535" exp="area" ref3D="1" dr="$A$734:$XFD$753" dn="Z_1CA6CCC9_64EF_4CA9_9C9C_1E572976D134_.wvu.Rows" sId="1"/>
    <undo index="65535" exp="area" ref3D="1" dr="$A$682:$XFD$731" dn="Z_1CA6CCC9_64EF_4CA9_9C9C_1E572976D134_.wvu.Rows" sId="1"/>
    <undo index="65535" exp="area" ref3D="1" dr="$A$664:$XFD$680" dn="Z_1CA6CCC9_64EF_4CA9_9C9C_1E572976D134_.wvu.Rows" sId="1"/>
    <undo index="65535" exp="area" ref3D="1" dr="$A$641:$XFD$662" dn="Z_1CA6CCC9_64EF_4CA9_9C9C_1E572976D134_.wvu.Rows" sId="1"/>
    <undo index="65535" exp="area" ref3D="1" dr="$A$576:$XFD$639" dn="Z_1CA6CCC9_64EF_4CA9_9C9C_1E572976D134_.wvu.Rows" sId="1"/>
    <undo index="65535" exp="area" ref3D="1" dr="$A$554:$XFD$574" dn="Z_1CA6CCC9_64EF_4CA9_9C9C_1E572976D134_.wvu.Rows" sId="1"/>
    <undo index="65535" exp="area" ref3D="1" dr="$A$547:$XFD$551" dn="Z_1CA6CCC9_64EF_4CA9_9C9C_1E572976D134_.wvu.Rows" sId="1"/>
    <undo index="65535" exp="area" ref3D="1" dr="$A$525:$XFD$544" dn="Z_1CA6CCC9_64EF_4CA9_9C9C_1E572976D134_.wvu.Rows" sId="1"/>
    <undo index="65535" exp="area" ref3D="1" dr="$A$444:$XFD$523" dn="Z_1CA6CCC9_64EF_4CA9_9C9C_1E572976D134_.wvu.Rows" sId="1"/>
    <undo index="65535" exp="area" ref3D="1" dr="$A$328:$XFD$442" dn="Z_1CA6CCC9_64EF_4CA9_9C9C_1E572976D134_.wvu.Rows" sId="1"/>
  </rrc>
  <rrc rId="1274" sId="1" ref="A419:XFD419" action="insertRow">
    <undo index="65535" exp="area" ref3D="1" dr="$A$885:$XFD$887" dn="Z_1CA6CCC9_64EF_4CA9_9C9C_1E572976D134_.wvu.Rows" sId="1"/>
    <undo index="65535" exp="area" ref3D="1" dr="$A$880:$XFD$882" dn="Z_1CA6CCC9_64EF_4CA9_9C9C_1E572976D134_.wvu.Rows" sId="1"/>
    <undo index="65535" exp="area" ref3D="1" dr="$A$857:$XFD$877" dn="Z_1CA6CCC9_64EF_4CA9_9C9C_1E572976D134_.wvu.Rows" sId="1"/>
    <undo index="65535" exp="area" ref3D="1" dr="$A$837:$XFD$855" dn="Z_1CA6CCC9_64EF_4CA9_9C9C_1E572976D134_.wvu.Rows" sId="1"/>
    <undo index="65535" exp="area" ref3D="1" dr="$A$831:$XFD$835" dn="Z_1CA6CCC9_64EF_4CA9_9C9C_1E572976D134_.wvu.Rows" sId="1"/>
    <undo index="65535" exp="area" ref3D="1" dr="$A$799:$XFD$828" dn="Z_1CA6CCC9_64EF_4CA9_9C9C_1E572976D134_.wvu.Rows" sId="1"/>
    <undo index="65535" exp="area" ref3D="1" dr="$A$784:$XFD$797" dn="Z_1CA6CCC9_64EF_4CA9_9C9C_1E572976D134_.wvu.Rows" sId="1"/>
    <undo index="65535" exp="area" ref3D="1" dr="$A$780:$XFD$782" dn="Z_1CA6CCC9_64EF_4CA9_9C9C_1E572976D134_.wvu.Rows" sId="1"/>
    <undo index="65535" exp="area" ref3D="1" dr="$A$756:$XFD$777" dn="Z_1CA6CCC9_64EF_4CA9_9C9C_1E572976D134_.wvu.Rows" sId="1"/>
    <undo index="65535" exp="area" ref3D="1" dr="$A$735:$XFD$754" dn="Z_1CA6CCC9_64EF_4CA9_9C9C_1E572976D134_.wvu.Rows" sId="1"/>
    <undo index="65535" exp="area" ref3D="1" dr="$A$683:$XFD$732" dn="Z_1CA6CCC9_64EF_4CA9_9C9C_1E572976D134_.wvu.Rows" sId="1"/>
    <undo index="65535" exp="area" ref3D="1" dr="$A$665:$XFD$681" dn="Z_1CA6CCC9_64EF_4CA9_9C9C_1E572976D134_.wvu.Rows" sId="1"/>
    <undo index="65535" exp="area" ref3D="1" dr="$A$642:$XFD$663" dn="Z_1CA6CCC9_64EF_4CA9_9C9C_1E572976D134_.wvu.Rows" sId="1"/>
    <undo index="65535" exp="area" ref3D="1" dr="$A$577:$XFD$640" dn="Z_1CA6CCC9_64EF_4CA9_9C9C_1E572976D134_.wvu.Rows" sId="1"/>
    <undo index="65535" exp="area" ref3D="1" dr="$A$555:$XFD$575" dn="Z_1CA6CCC9_64EF_4CA9_9C9C_1E572976D134_.wvu.Rows" sId="1"/>
    <undo index="65535" exp="area" ref3D="1" dr="$A$548:$XFD$552" dn="Z_1CA6CCC9_64EF_4CA9_9C9C_1E572976D134_.wvu.Rows" sId="1"/>
    <undo index="65535" exp="area" ref3D="1" dr="$A$526:$XFD$545" dn="Z_1CA6CCC9_64EF_4CA9_9C9C_1E572976D134_.wvu.Rows" sId="1"/>
    <undo index="65535" exp="area" ref3D="1" dr="$A$445:$XFD$524" dn="Z_1CA6CCC9_64EF_4CA9_9C9C_1E572976D134_.wvu.Rows" sId="1"/>
    <undo index="65535" exp="area" ref3D="1" dr="$A$328:$XFD$443" dn="Z_1CA6CCC9_64EF_4CA9_9C9C_1E572976D134_.wvu.Rows" sId="1"/>
  </rrc>
  <rrc rId="1275" sId="1" ref="A419:XFD419" action="insertRow">
    <undo index="65535" exp="area" ref3D="1" dr="$A$886:$XFD$888" dn="Z_1CA6CCC9_64EF_4CA9_9C9C_1E572976D134_.wvu.Rows" sId="1"/>
    <undo index="65535" exp="area" ref3D="1" dr="$A$881:$XFD$883" dn="Z_1CA6CCC9_64EF_4CA9_9C9C_1E572976D134_.wvu.Rows" sId="1"/>
    <undo index="65535" exp="area" ref3D="1" dr="$A$858:$XFD$878" dn="Z_1CA6CCC9_64EF_4CA9_9C9C_1E572976D134_.wvu.Rows" sId="1"/>
    <undo index="65535" exp="area" ref3D="1" dr="$A$838:$XFD$856" dn="Z_1CA6CCC9_64EF_4CA9_9C9C_1E572976D134_.wvu.Rows" sId="1"/>
    <undo index="65535" exp="area" ref3D="1" dr="$A$832:$XFD$836" dn="Z_1CA6CCC9_64EF_4CA9_9C9C_1E572976D134_.wvu.Rows" sId="1"/>
    <undo index="65535" exp="area" ref3D="1" dr="$A$800:$XFD$829" dn="Z_1CA6CCC9_64EF_4CA9_9C9C_1E572976D134_.wvu.Rows" sId="1"/>
    <undo index="65535" exp="area" ref3D="1" dr="$A$785:$XFD$798" dn="Z_1CA6CCC9_64EF_4CA9_9C9C_1E572976D134_.wvu.Rows" sId="1"/>
    <undo index="65535" exp="area" ref3D="1" dr="$A$781:$XFD$783" dn="Z_1CA6CCC9_64EF_4CA9_9C9C_1E572976D134_.wvu.Rows" sId="1"/>
    <undo index="65535" exp="area" ref3D="1" dr="$A$757:$XFD$778" dn="Z_1CA6CCC9_64EF_4CA9_9C9C_1E572976D134_.wvu.Rows" sId="1"/>
    <undo index="65535" exp="area" ref3D="1" dr="$A$736:$XFD$755" dn="Z_1CA6CCC9_64EF_4CA9_9C9C_1E572976D134_.wvu.Rows" sId="1"/>
    <undo index="65535" exp="area" ref3D="1" dr="$A$684:$XFD$733" dn="Z_1CA6CCC9_64EF_4CA9_9C9C_1E572976D134_.wvu.Rows" sId="1"/>
    <undo index="65535" exp="area" ref3D="1" dr="$A$666:$XFD$682" dn="Z_1CA6CCC9_64EF_4CA9_9C9C_1E572976D134_.wvu.Rows" sId="1"/>
    <undo index="65535" exp="area" ref3D="1" dr="$A$643:$XFD$664" dn="Z_1CA6CCC9_64EF_4CA9_9C9C_1E572976D134_.wvu.Rows" sId="1"/>
    <undo index="65535" exp="area" ref3D="1" dr="$A$578:$XFD$641" dn="Z_1CA6CCC9_64EF_4CA9_9C9C_1E572976D134_.wvu.Rows" sId="1"/>
    <undo index="65535" exp="area" ref3D="1" dr="$A$556:$XFD$576" dn="Z_1CA6CCC9_64EF_4CA9_9C9C_1E572976D134_.wvu.Rows" sId="1"/>
    <undo index="65535" exp="area" ref3D="1" dr="$A$549:$XFD$553" dn="Z_1CA6CCC9_64EF_4CA9_9C9C_1E572976D134_.wvu.Rows" sId="1"/>
    <undo index="65535" exp="area" ref3D="1" dr="$A$527:$XFD$546" dn="Z_1CA6CCC9_64EF_4CA9_9C9C_1E572976D134_.wvu.Rows" sId="1"/>
    <undo index="65535" exp="area" ref3D="1" dr="$A$446:$XFD$525" dn="Z_1CA6CCC9_64EF_4CA9_9C9C_1E572976D134_.wvu.Rows" sId="1"/>
    <undo index="65535" exp="area" ref3D="1" dr="$A$328:$XFD$444" dn="Z_1CA6CCC9_64EF_4CA9_9C9C_1E572976D134_.wvu.Rows" sId="1"/>
  </rrc>
  <rrc rId="1276" sId="1" ref="A419:XFD419" action="insertRow">
    <undo index="65535" exp="area" ref3D="1" dr="$A$887:$XFD$889" dn="Z_1CA6CCC9_64EF_4CA9_9C9C_1E572976D134_.wvu.Rows" sId="1"/>
    <undo index="65535" exp="area" ref3D="1" dr="$A$882:$XFD$884" dn="Z_1CA6CCC9_64EF_4CA9_9C9C_1E572976D134_.wvu.Rows" sId="1"/>
    <undo index="65535" exp="area" ref3D="1" dr="$A$859:$XFD$879" dn="Z_1CA6CCC9_64EF_4CA9_9C9C_1E572976D134_.wvu.Rows" sId="1"/>
    <undo index="65535" exp="area" ref3D="1" dr="$A$839:$XFD$857" dn="Z_1CA6CCC9_64EF_4CA9_9C9C_1E572976D134_.wvu.Rows" sId="1"/>
    <undo index="65535" exp="area" ref3D="1" dr="$A$833:$XFD$837" dn="Z_1CA6CCC9_64EF_4CA9_9C9C_1E572976D134_.wvu.Rows" sId="1"/>
    <undo index="65535" exp="area" ref3D="1" dr="$A$801:$XFD$830" dn="Z_1CA6CCC9_64EF_4CA9_9C9C_1E572976D134_.wvu.Rows" sId="1"/>
    <undo index="65535" exp="area" ref3D="1" dr="$A$786:$XFD$799" dn="Z_1CA6CCC9_64EF_4CA9_9C9C_1E572976D134_.wvu.Rows" sId="1"/>
    <undo index="65535" exp="area" ref3D="1" dr="$A$782:$XFD$784" dn="Z_1CA6CCC9_64EF_4CA9_9C9C_1E572976D134_.wvu.Rows" sId="1"/>
    <undo index="65535" exp="area" ref3D="1" dr="$A$758:$XFD$779" dn="Z_1CA6CCC9_64EF_4CA9_9C9C_1E572976D134_.wvu.Rows" sId="1"/>
    <undo index="65535" exp="area" ref3D="1" dr="$A$737:$XFD$756" dn="Z_1CA6CCC9_64EF_4CA9_9C9C_1E572976D134_.wvu.Rows" sId="1"/>
    <undo index="65535" exp="area" ref3D="1" dr="$A$685:$XFD$734" dn="Z_1CA6CCC9_64EF_4CA9_9C9C_1E572976D134_.wvu.Rows" sId="1"/>
    <undo index="65535" exp="area" ref3D="1" dr="$A$667:$XFD$683" dn="Z_1CA6CCC9_64EF_4CA9_9C9C_1E572976D134_.wvu.Rows" sId="1"/>
    <undo index="65535" exp="area" ref3D="1" dr="$A$644:$XFD$665" dn="Z_1CA6CCC9_64EF_4CA9_9C9C_1E572976D134_.wvu.Rows" sId="1"/>
    <undo index="65535" exp="area" ref3D="1" dr="$A$579:$XFD$642" dn="Z_1CA6CCC9_64EF_4CA9_9C9C_1E572976D134_.wvu.Rows" sId="1"/>
    <undo index="65535" exp="area" ref3D="1" dr="$A$557:$XFD$577" dn="Z_1CA6CCC9_64EF_4CA9_9C9C_1E572976D134_.wvu.Rows" sId="1"/>
    <undo index="65535" exp="area" ref3D="1" dr="$A$550:$XFD$554" dn="Z_1CA6CCC9_64EF_4CA9_9C9C_1E572976D134_.wvu.Rows" sId="1"/>
    <undo index="65535" exp="area" ref3D="1" dr="$A$528:$XFD$547" dn="Z_1CA6CCC9_64EF_4CA9_9C9C_1E572976D134_.wvu.Rows" sId="1"/>
    <undo index="65535" exp="area" ref3D="1" dr="$A$447:$XFD$526" dn="Z_1CA6CCC9_64EF_4CA9_9C9C_1E572976D134_.wvu.Rows" sId="1"/>
    <undo index="65535" exp="area" ref3D="1" dr="$A$328:$XFD$445" dn="Z_1CA6CCC9_64EF_4CA9_9C9C_1E572976D134_.wvu.Rows" sId="1"/>
  </rrc>
  <rrc rId="1277" sId="1" ref="A419:XFD419" action="insertRow">
    <undo index="65535" exp="area" ref3D="1" dr="$A$888:$XFD$890" dn="Z_1CA6CCC9_64EF_4CA9_9C9C_1E572976D134_.wvu.Rows" sId="1"/>
    <undo index="65535" exp="area" ref3D="1" dr="$A$883:$XFD$885" dn="Z_1CA6CCC9_64EF_4CA9_9C9C_1E572976D134_.wvu.Rows" sId="1"/>
    <undo index="65535" exp="area" ref3D="1" dr="$A$860:$XFD$880" dn="Z_1CA6CCC9_64EF_4CA9_9C9C_1E572976D134_.wvu.Rows" sId="1"/>
    <undo index="65535" exp="area" ref3D="1" dr="$A$840:$XFD$858" dn="Z_1CA6CCC9_64EF_4CA9_9C9C_1E572976D134_.wvu.Rows" sId="1"/>
    <undo index="65535" exp="area" ref3D="1" dr="$A$834:$XFD$838" dn="Z_1CA6CCC9_64EF_4CA9_9C9C_1E572976D134_.wvu.Rows" sId="1"/>
    <undo index="65535" exp="area" ref3D="1" dr="$A$802:$XFD$831" dn="Z_1CA6CCC9_64EF_4CA9_9C9C_1E572976D134_.wvu.Rows" sId="1"/>
    <undo index="65535" exp="area" ref3D="1" dr="$A$787:$XFD$800" dn="Z_1CA6CCC9_64EF_4CA9_9C9C_1E572976D134_.wvu.Rows" sId="1"/>
    <undo index="65535" exp="area" ref3D="1" dr="$A$783:$XFD$785" dn="Z_1CA6CCC9_64EF_4CA9_9C9C_1E572976D134_.wvu.Rows" sId="1"/>
    <undo index="65535" exp="area" ref3D="1" dr="$A$759:$XFD$780" dn="Z_1CA6CCC9_64EF_4CA9_9C9C_1E572976D134_.wvu.Rows" sId="1"/>
    <undo index="65535" exp="area" ref3D="1" dr="$A$738:$XFD$757" dn="Z_1CA6CCC9_64EF_4CA9_9C9C_1E572976D134_.wvu.Rows" sId="1"/>
    <undo index="65535" exp="area" ref3D="1" dr="$A$686:$XFD$735" dn="Z_1CA6CCC9_64EF_4CA9_9C9C_1E572976D134_.wvu.Rows" sId="1"/>
    <undo index="65535" exp="area" ref3D="1" dr="$A$668:$XFD$684" dn="Z_1CA6CCC9_64EF_4CA9_9C9C_1E572976D134_.wvu.Rows" sId="1"/>
    <undo index="65535" exp="area" ref3D="1" dr="$A$645:$XFD$666" dn="Z_1CA6CCC9_64EF_4CA9_9C9C_1E572976D134_.wvu.Rows" sId="1"/>
    <undo index="65535" exp="area" ref3D="1" dr="$A$580:$XFD$643" dn="Z_1CA6CCC9_64EF_4CA9_9C9C_1E572976D134_.wvu.Rows" sId="1"/>
    <undo index="65535" exp="area" ref3D="1" dr="$A$558:$XFD$578" dn="Z_1CA6CCC9_64EF_4CA9_9C9C_1E572976D134_.wvu.Rows" sId="1"/>
    <undo index="65535" exp="area" ref3D="1" dr="$A$551:$XFD$555" dn="Z_1CA6CCC9_64EF_4CA9_9C9C_1E572976D134_.wvu.Rows" sId="1"/>
    <undo index="65535" exp="area" ref3D="1" dr="$A$529:$XFD$548" dn="Z_1CA6CCC9_64EF_4CA9_9C9C_1E572976D134_.wvu.Rows" sId="1"/>
    <undo index="65535" exp="area" ref3D="1" dr="$A$448:$XFD$527" dn="Z_1CA6CCC9_64EF_4CA9_9C9C_1E572976D134_.wvu.Rows" sId="1"/>
    <undo index="65535" exp="area" ref3D="1" dr="$A$328:$XFD$446" dn="Z_1CA6CCC9_64EF_4CA9_9C9C_1E572976D134_.wvu.Rows" sId="1"/>
  </rrc>
  <rrc rId="1278" sId="1" ref="A419:XFD419" action="insertRow">
    <undo index="65535" exp="area" ref3D="1" dr="$A$889:$XFD$891" dn="Z_1CA6CCC9_64EF_4CA9_9C9C_1E572976D134_.wvu.Rows" sId="1"/>
    <undo index="65535" exp="area" ref3D="1" dr="$A$884:$XFD$886" dn="Z_1CA6CCC9_64EF_4CA9_9C9C_1E572976D134_.wvu.Rows" sId="1"/>
    <undo index="65535" exp="area" ref3D="1" dr="$A$861:$XFD$881" dn="Z_1CA6CCC9_64EF_4CA9_9C9C_1E572976D134_.wvu.Rows" sId="1"/>
    <undo index="65535" exp="area" ref3D="1" dr="$A$841:$XFD$859" dn="Z_1CA6CCC9_64EF_4CA9_9C9C_1E572976D134_.wvu.Rows" sId="1"/>
    <undo index="65535" exp="area" ref3D="1" dr="$A$835:$XFD$839" dn="Z_1CA6CCC9_64EF_4CA9_9C9C_1E572976D134_.wvu.Rows" sId="1"/>
    <undo index="65535" exp="area" ref3D="1" dr="$A$803:$XFD$832" dn="Z_1CA6CCC9_64EF_4CA9_9C9C_1E572976D134_.wvu.Rows" sId="1"/>
    <undo index="65535" exp="area" ref3D="1" dr="$A$788:$XFD$801" dn="Z_1CA6CCC9_64EF_4CA9_9C9C_1E572976D134_.wvu.Rows" sId="1"/>
    <undo index="65535" exp="area" ref3D="1" dr="$A$784:$XFD$786" dn="Z_1CA6CCC9_64EF_4CA9_9C9C_1E572976D134_.wvu.Rows" sId="1"/>
    <undo index="65535" exp="area" ref3D="1" dr="$A$760:$XFD$781" dn="Z_1CA6CCC9_64EF_4CA9_9C9C_1E572976D134_.wvu.Rows" sId="1"/>
    <undo index="65535" exp="area" ref3D="1" dr="$A$739:$XFD$758" dn="Z_1CA6CCC9_64EF_4CA9_9C9C_1E572976D134_.wvu.Rows" sId="1"/>
    <undo index="65535" exp="area" ref3D="1" dr="$A$687:$XFD$736" dn="Z_1CA6CCC9_64EF_4CA9_9C9C_1E572976D134_.wvu.Rows" sId="1"/>
    <undo index="65535" exp="area" ref3D="1" dr="$A$669:$XFD$685" dn="Z_1CA6CCC9_64EF_4CA9_9C9C_1E572976D134_.wvu.Rows" sId="1"/>
    <undo index="65535" exp="area" ref3D="1" dr="$A$646:$XFD$667" dn="Z_1CA6CCC9_64EF_4CA9_9C9C_1E572976D134_.wvu.Rows" sId="1"/>
    <undo index="65535" exp="area" ref3D="1" dr="$A$581:$XFD$644" dn="Z_1CA6CCC9_64EF_4CA9_9C9C_1E572976D134_.wvu.Rows" sId="1"/>
    <undo index="65535" exp="area" ref3D="1" dr="$A$559:$XFD$579" dn="Z_1CA6CCC9_64EF_4CA9_9C9C_1E572976D134_.wvu.Rows" sId="1"/>
    <undo index="65535" exp="area" ref3D="1" dr="$A$552:$XFD$556" dn="Z_1CA6CCC9_64EF_4CA9_9C9C_1E572976D134_.wvu.Rows" sId="1"/>
    <undo index="65535" exp="area" ref3D="1" dr="$A$530:$XFD$549" dn="Z_1CA6CCC9_64EF_4CA9_9C9C_1E572976D134_.wvu.Rows" sId="1"/>
    <undo index="65535" exp="area" ref3D="1" dr="$A$449:$XFD$528" dn="Z_1CA6CCC9_64EF_4CA9_9C9C_1E572976D134_.wvu.Rows" sId="1"/>
    <undo index="65535" exp="area" ref3D="1" dr="$A$328:$XFD$447" dn="Z_1CA6CCC9_64EF_4CA9_9C9C_1E572976D134_.wvu.Rows" sId="1"/>
  </rrc>
  <rrc rId="1279" sId="1" ref="A419:XFD419" action="insertRow">
    <undo index="65535" exp="area" ref3D="1" dr="$A$890:$XFD$892" dn="Z_1CA6CCC9_64EF_4CA9_9C9C_1E572976D134_.wvu.Rows" sId="1"/>
    <undo index="65535" exp="area" ref3D="1" dr="$A$885:$XFD$887" dn="Z_1CA6CCC9_64EF_4CA9_9C9C_1E572976D134_.wvu.Rows" sId="1"/>
    <undo index="65535" exp="area" ref3D="1" dr="$A$862:$XFD$882" dn="Z_1CA6CCC9_64EF_4CA9_9C9C_1E572976D134_.wvu.Rows" sId="1"/>
    <undo index="65535" exp="area" ref3D="1" dr="$A$842:$XFD$860" dn="Z_1CA6CCC9_64EF_4CA9_9C9C_1E572976D134_.wvu.Rows" sId="1"/>
    <undo index="65535" exp="area" ref3D="1" dr="$A$836:$XFD$840" dn="Z_1CA6CCC9_64EF_4CA9_9C9C_1E572976D134_.wvu.Rows" sId="1"/>
    <undo index="65535" exp="area" ref3D="1" dr="$A$804:$XFD$833" dn="Z_1CA6CCC9_64EF_4CA9_9C9C_1E572976D134_.wvu.Rows" sId="1"/>
    <undo index="65535" exp="area" ref3D="1" dr="$A$789:$XFD$802" dn="Z_1CA6CCC9_64EF_4CA9_9C9C_1E572976D134_.wvu.Rows" sId="1"/>
    <undo index="65535" exp="area" ref3D="1" dr="$A$785:$XFD$787" dn="Z_1CA6CCC9_64EF_4CA9_9C9C_1E572976D134_.wvu.Rows" sId="1"/>
    <undo index="65535" exp="area" ref3D="1" dr="$A$761:$XFD$782" dn="Z_1CA6CCC9_64EF_4CA9_9C9C_1E572976D134_.wvu.Rows" sId="1"/>
    <undo index="65535" exp="area" ref3D="1" dr="$A$740:$XFD$759" dn="Z_1CA6CCC9_64EF_4CA9_9C9C_1E572976D134_.wvu.Rows" sId="1"/>
    <undo index="65535" exp="area" ref3D="1" dr="$A$688:$XFD$737" dn="Z_1CA6CCC9_64EF_4CA9_9C9C_1E572976D134_.wvu.Rows" sId="1"/>
    <undo index="65535" exp="area" ref3D="1" dr="$A$670:$XFD$686" dn="Z_1CA6CCC9_64EF_4CA9_9C9C_1E572976D134_.wvu.Rows" sId="1"/>
    <undo index="65535" exp="area" ref3D="1" dr="$A$647:$XFD$668" dn="Z_1CA6CCC9_64EF_4CA9_9C9C_1E572976D134_.wvu.Rows" sId="1"/>
    <undo index="65535" exp="area" ref3D="1" dr="$A$582:$XFD$645" dn="Z_1CA6CCC9_64EF_4CA9_9C9C_1E572976D134_.wvu.Rows" sId="1"/>
    <undo index="65535" exp="area" ref3D="1" dr="$A$560:$XFD$580" dn="Z_1CA6CCC9_64EF_4CA9_9C9C_1E572976D134_.wvu.Rows" sId="1"/>
    <undo index="65535" exp="area" ref3D="1" dr="$A$553:$XFD$557" dn="Z_1CA6CCC9_64EF_4CA9_9C9C_1E572976D134_.wvu.Rows" sId="1"/>
    <undo index="65535" exp="area" ref3D="1" dr="$A$531:$XFD$550" dn="Z_1CA6CCC9_64EF_4CA9_9C9C_1E572976D134_.wvu.Rows" sId="1"/>
    <undo index="65535" exp="area" ref3D="1" dr="$A$450:$XFD$529" dn="Z_1CA6CCC9_64EF_4CA9_9C9C_1E572976D134_.wvu.Rows" sId="1"/>
    <undo index="65535" exp="area" ref3D="1" dr="$A$328:$XFD$448" dn="Z_1CA6CCC9_64EF_4CA9_9C9C_1E572976D134_.wvu.Rows" sId="1"/>
  </rrc>
  <rrc rId="1280" sId="1" ref="A419:XFD419" action="insertRow">
    <undo index="65535" exp="area" ref3D="1" dr="$A$891:$XFD$893" dn="Z_1CA6CCC9_64EF_4CA9_9C9C_1E572976D134_.wvu.Rows" sId="1"/>
    <undo index="65535" exp="area" ref3D="1" dr="$A$886:$XFD$888" dn="Z_1CA6CCC9_64EF_4CA9_9C9C_1E572976D134_.wvu.Rows" sId="1"/>
    <undo index="65535" exp="area" ref3D="1" dr="$A$863:$XFD$883" dn="Z_1CA6CCC9_64EF_4CA9_9C9C_1E572976D134_.wvu.Rows" sId="1"/>
    <undo index="65535" exp="area" ref3D="1" dr="$A$843:$XFD$861" dn="Z_1CA6CCC9_64EF_4CA9_9C9C_1E572976D134_.wvu.Rows" sId="1"/>
    <undo index="65535" exp="area" ref3D="1" dr="$A$837:$XFD$841" dn="Z_1CA6CCC9_64EF_4CA9_9C9C_1E572976D134_.wvu.Rows" sId="1"/>
    <undo index="65535" exp="area" ref3D="1" dr="$A$805:$XFD$834" dn="Z_1CA6CCC9_64EF_4CA9_9C9C_1E572976D134_.wvu.Rows" sId="1"/>
    <undo index="65535" exp="area" ref3D="1" dr="$A$790:$XFD$803" dn="Z_1CA6CCC9_64EF_4CA9_9C9C_1E572976D134_.wvu.Rows" sId="1"/>
    <undo index="65535" exp="area" ref3D="1" dr="$A$786:$XFD$788" dn="Z_1CA6CCC9_64EF_4CA9_9C9C_1E572976D134_.wvu.Rows" sId="1"/>
    <undo index="65535" exp="area" ref3D="1" dr="$A$762:$XFD$783" dn="Z_1CA6CCC9_64EF_4CA9_9C9C_1E572976D134_.wvu.Rows" sId="1"/>
    <undo index="65535" exp="area" ref3D="1" dr="$A$741:$XFD$760" dn="Z_1CA6CCC9_64EF_4CA9_9C9C_1E572976D134_.wvu.Rows" sId="1"/>
    <undo index="65535" exp="area" ref3D="1" dr="$A$689:$XFD$738" dn="Z_1CA6CCC9_64EF_4CA9_9C9C_1E572976D134_.wvu.Rows" sId="1"/>
    <undo index="65535" exp="area" ref3D="1" dr="$A$671:$XFD$687" dn="Z_1CA6CCC9_64EF_4CA9_9C9C_1E572976D134_.wvu.Rows" sId="1"/>
    <undo index="65535" exp="area" ref3D="1" dr="$A$648:$XFD$669" dn="Z_1CA6CCC9_64EF_4CA9_9C9C_1E572976D134_.wvu.Rows" sId="1"/>
    <undo index="65535" exp="area" ref3D="1" dr="$A$583:$XFD$646" dn="Z_1CA6CCC9_64EF_4CA9_9C9C_1E572976D134_.wvu.Rows" sId="1"/>
    <undo index="65535" exp="area" ref3D="1" dr="$A$561:$XFD$581" dn="Z_1CA6CCC9_64EF_4CA9_9C9C_1E572976D134_.wvu.Rows" sId="1"/>
    <undo index="65535" exp="area" ref3D="1" dr="$A$554:$XFD$558" dn="Z_1CA6CCC9_64EF_4CA9_9C9C_1E572976D134_.wvu.Rows" sId="1"/>
    <undo index="65535" exp="area" ref3D="1" dr="$A$532:$XFD$551" dn="Z_1CA6CCC9_64EF_4CA9_9C9C_1E572976D134_.wvu.Rows" sId="1"/>
    <undo index="65535" exp="area" ref3D="1" dr="$A$451:$XFD$530" dn="Z_1CA6CCC9_64EF_4CA9_9C9C_1E572976D134_.wvu.Rows" sId="1"/>
    <undo index="65535" exp="area" ref3D="1" dr="$A$328:$XFD$449" dn="Z_1CA6CCC9_64EF_4CA9_9C9C_1E572976D134_.wvu.Rows" sId="1"/>
  </rrc>
  <rrc rId="1281" sId="1" ref="A419:XFD419" action="insertRow">
    <undo index="65535" exp="area" ref3D="1" dr="$A$892:$XFD$894" dn="Z_1CA6CCC9_64EF_4CA9_9C9C_1E572976D134_.wvu.Rows" sId="1"/>
    <undo index="65535" exp="area" ref3D="1" dr="$A$887:$XFD$889" dn="Z_1CA6CCC9_64EF_4CA9_9C9C_1E572976D134_.wvu.Rows" sId="1"/>
    <undo index="65535" exp="area" ref3D="1" dr="$A$864:$XFD$884" dn="Z_1CA6CCC9_64EF_4CA9_9C9C_1E572976D134_.wvu.Rows" sId="1"/>
    <undo index="65535" exp="area" ref3D="1" dr="$A$844:$XFD$862" dn="Z_1CA6CCC9_64EF_4CA9_9C9C_1E572976D134_.wvu.Rows" sId="1"/>
    <undo index="65535" exp="area" ref3D="1" dr="$A$838:$XFD$842" dn="Z_1CA6CCC9_64EF_4CA9_9C9C_1E572976D134_.wvu.Rows" sId="1"/>
    <undo index="65535" exp="area" ref3D="1" dr="$A$806:$XFD$835" dn="Z_1CA6CCC9_64EF_4CA9_9C9C_1E572976D134_.wvu.Rows" sId="1"/>
    <undo index="65535" exp="area" ref3D="1" dr="$A$791:$XFD$804" dn="Z_1CA6CCC9_64EF_4CA9_9C9C_1E572976D134_.wvu.Rows" sId="1"/>
    <undo index="65535" exp="area" ref3D="1" dr="$A$787:$XFD$789" dn="Z_1CA6CCC9_64EF_4CA9_9C9C_1E572976D134_.wvu.Rows" sId="1"/>
    <undo index="65535" exp="area" ref3D="1" dr="$A$763:$XFD$784" dn="Z_1CA6CCC9_64EF_4CA9_9C9C_1E572976D134_.wvu.Rows" sId="1"/>
    <undo index="65535" exp="area" ref3D="1" dr="$A$742:$XFD$761" dn="Z_1CA6CCC9_64EF_4CA9_9C9C_1E572976D134_.wvu.Rows" sId="1"/>
    <undo index="65535" exp="area" ref3D="1" dr="$A$690:$XFD$739" dn="Z_1CA6CCC9_64EF_4CA9_9C9C_1E572976D134_.wvu.Rows" sId="1"/>
    <undo index="65535" exp="area" ref3D="1" dr="$A$672:$XFD$688" dn="Z_1CA6CCC9_64EF_4CA9_9C9C_1E572976D134_.wvu.Rows" sId="1"/>
    <undo index="65535" exp="area" ref3D="1" dr="$A$649:$XFD$670" dn="Z_1CA6CCC9_64EF_4CA9_9C9C_1E572976D134_.wvu.Rows" sId="1"/>
    <undo index="65535" exp="area" ref3D="1" dr="$A$584:$XFD$647" dn="Z_1CA6CCC9_64EF_4CA9_9C9C_1E572976D134_.wvu.Rows" sId="1"/>
    <undo index="65535" exp="area" ref3D="1" dr="$A$562:$XFD$582" dn="Z_1CA6CCC9_64EF_4CA9_9C9C_1E572976D134_.wvu.Rows" sId="1"/>
    <undo index="65535" exp="area" ref3D="1" dr="$A$555:$XFD$559" dn="Z_1CA6CCC9_64EF_4CA9_9C9C_1E572976D134_.wvu.Rows" sId="1"/>
    <undo index="65535" exp="area" ref3D="1" dr="$A$533:$XFD$552" dn="Z_1CA6CCC9_64EF_4CA9_9C9C_1E572976D134_.wvu.Rows" sId="1"/>
    <undo index="65535" exp="area" ref3D="1" dr="$A$452:$XFD$531" dn="Z_1CA6CCC9_64EF_4CA9_9C9C_1E572976D134_.wvu.Rows" sId="1"/>
    <undo index="65535" exp="area" ref3D="1" dr="$A$328:$XFD$450" dn="Z_1CA6CCC9_64EF_4CA9_9C9C_1E572976D134_.wvu.Rows" sId="1"/>
  </rrc>
  <rrc rId="1282" sId="1" ref="A419:XFD419" action="insertRow">
    <undo index="65535" exp="area" ref3D="1" dr="$A$893:$XFD$895" dn="Z_1CA6CCC9_64EF_4CA9_9C9C_1E572976D134_.wvu.Rows" sId="1"/>
    <undo index="65535" exp="area" ref3D="1" dr="$A$888:$XFD$890" dn="Z_1CA6CCC9_64EF_4CA9_9C9C_1E572976D134_.wvu.Rows" sId="1"/>
    <undo index="65535" exp="area" ref3D="1" dr="$A$865:$XFD$885" dn="Z_1CA6CCC9_64EF_4CA9_9C9C_1E572976D134_.wvu.Rows" sId="1"/>
    <undo index="65535" exp="area" ref3D="1" dr="$A$845:$XFD$863" dn="Z_1CA6CCC9_64EF_4CA9_9C9C_1E572976D134_.wvu.Rows" sId="1"/>
    <undo index="65535" exp="area" ref3D="1" dr="$A$839:$XFD$843" dn="Z_1CA6CCC9_64EF_4CA9_9C9C_1E572976D134_.wvu.Rows" sId="1"/>
    <undo index="65535" exp="area" ref3D="1" dr="$A$807:$XFD$836" dn="Z_1CA6CCC9_64EF_4CA9_9C9C_1E572976D134_.wvu.Rows" sId="1"/>
    <undo index="65535" exp="area" ref3D="1" dr="$A$792:$XFD$805" dn="Z_1CA6CCC9_64EF_4CA9_9C9C_1E572976D134_.wvu.Rows" sId="1"/>
    <undo index="65535" exp="area" ref3D="1" dr="$A$788:$XFD$790" dn="Z_1CA6CCC9_64EF_4CA9_9C9C_1E572976D134_.wvu.Rows" sId="1"/>
    <undo index="65535" exp="area" ref3D="1" dr="$A$764:$XFD$785" dn="Z_1CA6CCC9_64EF_4CA9_9C9C_1E572976D134_.wvu.Rows" sId="1"/>
    <undo index="65535" exp="area" ref3D="1" dr="$A$743:$XFD$762" dn="Z_1CA6CCC9_64EF_4CA9_9C9C_1E572976D134_.wvu.Rows" sId="1"/>
    <undo index="65535" exp="area" ref3D="1" dr="$A$691:$XFD$740" dn="Z_1CA6CCC9_64EF_4CA9_9C9C_1E572976D134_.wvu.Rows" sId="1"/>
    <undo index="65535" exp="area" ref3D="1" dr="$A$673:$XFD$689" dn="Z_1CA6CCC9_64EF_4CA9_9C9C_1E572976D134_.wvu.Rows" sId="1"/>
    <undo index="65535" exp="area" ref3D="1" dr="$A$650:$XFD$671" dn="Z_1CA6CCC9_64EF_4CA9_9C9C_1E572976D134_.wvu.Rows" sId="1"/>
    <undo index="65535" exp="area" ref3D="1" dr="$A$585:$XFD$648" dn="Z_1CA6CCC9_64EF_4CA9_9C9C_1E572976D134_.wvu.Rows" sId="1"/>
    <undo index="65535" exp="area" ref3D="1" dr="$A$563:$XFD$583" dn="Z_1CA6CCC9_64EF_4CA9_9C9C_1E572976D134_.wvu.Rows" sId="1"/>
    <undo index="65535" exp="area" ref3D="1" dr="$A$556:$XFD$560" dn="Z_1CA6CCC9_64EF_4CA9_9C9C_1E572976D134_.wvu.Rows" sId="1"/>
    <undo index="65535" exp="area" ref3D="1" dr="$A$534:$XFD$553" dn="Z_1CA6CCC9_64EF_4CA9_9C9C_1E572976D134_.wvu.Rows" sId="1"/>
    <undo index="65535" exp="area" ref3D="1" dr="$A$453:$XFD$532" dn="Z_1CA6CCC9_64EF_4CA9_9C9C_1E572976D134_.wvu.Rows" sId="1"/>
    <undo index="65535" exp="area" ref3D="1" dr="$A$328:$XFD$451" dn="Z_1CA6CCC9_64EF_4CA9_9C9C_1E572976D134_.wvu.Rows" sId="1"/>
  </rrc>
  <rrc rId="1283" sId="1" ref="A419:XFD419" action="insertRow">
    <undo index="65535" exp="area" ref3D="1" dr="$A$894:$XFD$896" dn="Z_1CA6CCC9_64EF_4CA9_9C9C_1E572976D134_.wvu.Rows" sId="1"/>
    <undo index="65535" exp="area" ref3D="1" dr="$A$889:$XFD$891" dn="Z_1CA6CCC9_64EF_4CA9_9C9C_1E572976D134_.wvu.Rows" sId="1"/>
    <undo index="65535" exp="area" ref3D="1" dr="$A$866:$XFD$886" dn="Z_1CA6CCC9_64EF_4CA9_9C9C_1E572976D134_.wvu.Rows" sId="1"/>
    <undo index="65535" exp="area" ref3D="1" dr="$A$846:$XFD$864" dn="Z_1CA6CCC9_64EF_4CA9_9C9C_1E572976D134_.wvu.Rows" sId="1"/>
    <undo index="65535" exp="area" ref3D="1" dr="$A$840:$XFD$844" dn="Z_1CA6CCC9_64EF_4CA9_9C9C_1E572976D134_.wvu.Rows" sId="1"/>
    <undo index="65535" exp="area" ref3D="1" dr="$A$808:$XFD$837" dn="Z_1CA6CCC9_64EF_4CA9_9C9C_1E572976D134_.wvu.Rows" sId="1"/>
    <undo index="65535" exp="area" ref3D="1" dr="$A$793:$XFD$806" dn="Z_1CA6CCC9_64EF_4CA9_9C9C_1E572976D134_.wvu.Rows" sId="1"/>
    <undo index="65535" exp="area" ref3D="1" dr="$A$789:$XFD$791" dn="Z_1CA6CCC9_64EF_4CA9_9C9C_1E572976D134_.wvu.Rows" sId="1"/>
    <undo index="65535" exp="area" ref3D="1" dr="$A$765:$XFD$786" dn="Z_1CA6CCC9_64EF_4CA9_9C9C_1E572976D134_.wvu.Rows" sId="1"/>
    <undo index="65535" exp="area" ref3D="1" dr="$A$744:$XFD$763" dn="Z_1CA6CCC9_64EF_4CA9_9C9C_1E572976D134_.wvu.Rows" sId="1"/>
    <undo index="65535" exp="area" ref3D="1" dr="$A$692:$XFD$741" dn="Z_1CA6CCC9_64EF_4CA9_9C9C_1E572976D134_.wvu.Rows" sId="1"/>
    <undo index="65535" exp="area" ref3D="1" dr="$A$674:$XFD$690" dn="Z_1CA6CCC9_64EF_4CA9_9C9C_1E572976D134_.wvu.Rows" sId="1"/>
    <undo index="65535" exp="area" ref3D="1" dr="$A$651:$XFD$672" dn="Z_1CA6CCC9_64EF_4CA9_9C9C_1E572976D134_.wvu.Rows" sId="1"/>
    <undo index="65535" exp="area" ref3D="1" dr="$A$586:$XFD$649" dn="Z_1CA6CCC9_64EF_4CA9_9C9C_1E572976D134_.wvu.Rows" sId="1"/>
    <undo index="65535" exp="area" ref3D="1" dr="$A$564:$XFD$584" dn="Z_1CA6CCC9_64EF_4CA9_9C9C_1E572976D134_.wvu.Rows" sId="1"/>
    <undo index="65535" exp="area" ref3D="1" dr="$A$557:$XFD$561" dn="Z_1CA6CCC9_64EF_4CA9_9C9C_1E572976D134_.wvu.Rows" sId="1"/>
    <undo index="65535" exp="area" ref3D="1" dr="$A$535:$XFD$554" dn="Z_1CA6CCC9_64EF_4CA9_9C9C_1E572976D134_.wvu.Rows" sId="1"/>
    <undo index="65535" exp="area" ref3D="1" dr="$A$454:$XFD$533" dn="Z_1CA6CCC9_64EF_4CA9_9C9C_1E572976D134_.wvu.Rows" sId="1"/>
    <undo index="65535" exp="area" ref3D="1" dr="$A$328:$XFD$452" dn="Z_1CA6CCC9_64EF_4CA9_9C9C_1E572976D134_.wvu.Rows" sId="1"/>
  </rrc>
  <rrc rId="1284" sId="1" ref="A419:XFD419" action="insertRow">
    <undo index="65535" exp="area" ref3D="1" dr="$A$895:$XFD$897" dn="Z_1CA6CCC9_64EF_4CA9_9C9C_1E572976D134_.wvu.Rows" sId="1"/>
    <undo index="65535" exp="area" ref3D="1" dr="$A$890:$XFD$892" dn="Z_1CA6CCC9_64EF_4CA9_9C9C_1E572976D134_.wvu.Rows" sId="1"/>
    <undo index="65535" exp="area" ref3D="1" dr="$A$867:$XFD$887" dn="Z_1CA6CCC9_64EF_4CA9_9C9C_1E572976D134_.wvu.Rows" sId="1"/>
    <undo index="65535" exp="area" ref3D="1" dr="$A$847:$XFD$865" dn="Z_1CA6CCC9_64EF_4CA9_9C9C_1E572976D134_.wvu.Rows" sId="1"/>
    <undo index="65535" exp="area" ref3D="1" dr="$A$841:$XFD$845" dn="Z_1CA6CCC9_64EF_4CA9_9C9C_1E572976D134_.wvu.Rows" sId="1"/>
    <undo index="65535" exp="area" ref3D="1" dr="$A$809:$XFD$838" dn="Z_1CA6CCC9_64EF_4CA9_9C9C_1E572976D134_.wvu.Rows" sId="1"/>
    <undo index="65535" exp="area" ref3D="1" dr="$A$794:$XFD$807" dn="Z_1CA6CCC9_64EF_4CA9_9C9C_1E572976D134_.wvu.Rows" sId="1"/>
    <undo index="65535" exp="area" ref3D="1" dr="$A$790:$XFD$792" dn="Z_1CA6CCC9_64EF_4CA9_9C9C_1E572976D134_.wvu.Rows" sId="1"/>
    <undo index="65535" exp="area" ref3D="1" dr="$A$766:$XFD$787" dn="Z_1CA6CCC9_64EF_4CA9_9C9C_1E572976D134_.wvu.Rows" sId="1"/>
    <undo index="65535" exp="area" ref3D="1" dr="$A$745:$XFD$764" dn="Z_1CA6CCC9_64EF_4CA9_9C9C_1E572976D134_.wvu.Rows" sId="1"/>
    <undo index="65535" exp="area" ref3D="1" dr="$A$693:$XFD$742" dn="Z_1CA6CCC9_64EF_4CA9_9C9C_1E572976D134_.wvu.Rows" sId="1"/>
    <undo index="65535" exp="area" ref3D="1" dr="$A$675:$XFD$691" dn="Z_1CA6CCC9_64EF_4CA9_9C9C_1E572976D134_.wvu.Rows" sId="1"/>
    <undo index="65535" exp="area" ref3D="1" dr="$A$652:$XFD$673" dn="Z_1CA6CCC9_64EF_4CA9_9C9C_1E572976D134_.wvu.Rows" sId="1"/>
    <undo index="65535" exp="area" ref3D="1" dr="$A$587:$XFD$650" dn="Z_1CA6CCC9_64EF_4CA9_9C9C_1E572976D134_.wvu.Rows" sId="1"/>
    <undo index="65535" exp="area" ref3D="1" dr="$A$565:$XFD$585" dn="Z_1CA6CCC9_64EF_4CA9_9C9C_1E572976D134_.wvu.Rows" sId="1"/>
    <undo index="65535" exp="area" ref3D="1" dr="$A$558:$XFD$562" dn="Z_1CA6CCC9_64EF_4CA9_9C9C_1E572976D134_.wvu.Rows" sId="1"/>
    <undo index="65535" exp="area" ref3D="1" dr="$A$536:$XFD$555" dn="Z_1CA6CCC9_64EF_4CA9_9C9C_1E572976D134_.wvu.Rows" sId="1"/>
    <undo index="65535" exp="area" ref3D="1" dr="$A$455:$XFD$534" dn="Z_1CA6CCC9_64EF_4CA9_9C9C_1E572976D134_.wvu.Rows" sId="1"/>
    <undo index="65535" exp="area" ref3D="1" dr="$A$328:$XFD$453" dn="Z_1CA6CCC9_64EF_4CA9_9C9C_1E572976D134_.wvu.Rows" sId="1"/>
  </rrc>
  <rrc rId="1285" sId="1" ref="A419:XFD419" action="insertRow">
    <undo index="65535" exp="area" ref3D="1" dr="$A$896:$XFD$898" dn="Z_1CA6CCC9_64EF_4CA9_9C9C_1E572976D134_.wvu.Rows" sId="1"/>
    <undo index="65535" exp="area" ref3D="1" dr="$A$891:$XFD$893" dn="Z_1CA6CCC9_64EF_4CA9_9C9C_1E572976D134_.wvu.Rows" sId="1"/>
    <undo index="65535" exp="area" ref3D="1" dr="$A$868:$XFD$888" dn="Z_1CA6CCC9_64EF_4CA9_9C9C_1E572976D134_.wvu.Rows" sId="1"/>
    <undo index="65535" exp="area" ref3D="1" dr="$A$848:$XFD$866" dn="Z_1CA6CCC9_64EF_4CA9_9C9C_1E572976D134_.wvu.Rows" sId="1"/>
    <undo index="65535" exp="area" ref3D="1" dr="$A$842:$XFD$846" dn="Z_1CA6CCC9_64EF_4CA9_9C9C_1E572976D134_.wvu.Rows" sId="1"/>
    <undo index="65535" exp="area" ref3D="1" dr="$A$810:$XFD$839" dn="Z_1CA6CCC9_64EF_4CA9_9C9C_1E572976D134_.wvu.Rows" sId="1"/>
    <undo index="65535" exp="area" ref3D="1" dr="$A$795:$XFD$808" dn="Z_1CA6CCC9_64EF_4CA9_9C9C_1E572976D134_.wvu.Rows" sId="1"/>
    <undo index="65535" exp="area" ref3D="1" dr="$A$791:$XFD$793" dn="Z_1CA6CCC9_64EF_4CA9_9C9C_1E572976D134_.wvu.Rows" sId="1"/>
    <undo index="65535" exp="area" ref3D="1" dr="$A$767:$XFD$788" dn="Z_1CA6CCC9_64EF_4CA9_9C9C_1E572976D134_.wvu.Rows" sId="1"/>
    <undo index="65535" exp="area" ref3D="1" dr="$A$746:$XFD$765" dn="Z_1CA6CCC9_64EF_4CA9_9C9C_1E572976D134_.wvu.Rows" sId="1"/>
    <undo index="65535" exp="area" ref3D="1" dr="$A$694:$XFD$743" dn="Z_1CA6CCC9_64EF_4CA9_9C9C_1E572976D134_.wvu.Rows" sId="1"/>
    <undo index="65535" exp="area" ref3D="1" dr="$A$676:$XFD$692" dn="Z_1CA6CCC9_64EF_4CA9_9C9C_1E572976D134_.wvu.Rows" sId="1"/>
    <undo index="65535" exp="area" ref3D="1" dr="$A$653:$XFD$674" dn="Z_1CA6CCC9_64EF_4CA9_9C9C_1E572976D134_.wvu.Rows" sId="1"/>
    <undo index="65535" exp="area" ref3D="1" dr="$A$588:$XFD$651" dn="Z_1CA6CCC9_64EF_4CA9_9C9C_1E572976D134_.wvu.Rows" sId="1"/>
    <undo index="65535" exp="area" ref3D="1" dr="$A$566:$XFD$586" dn="Z_1CA6CCC9_64EF_4CA9_9C9C_1E572976D134_.wvu.Rows" sId="1"/>
    <undo index="65535" exp="area" ref3D="1" dr="$A$559:$XFD$563" dn="Z_1CA6CCC9_64EF_4CA9_9C9C_1E572976D134_.wvu.Rows" sId="1"/>
    <undo index="65535" exp="area" ref3D="1" dr="$A$537:$XFD$556" dn="Z_1CA6CCC9_64EF_4CA9_9C9C_1E572976D134_.wvu.Rows" sId="1"/>
    <undo index="65535" exp="area" ref3D="1" dr="$A$456:$XFD$535" dn="Z_1CA6CCC9_64EF_4CA9_9C9C_1E572976D134_.wvu.Rows" sId="1"/>
    <undo index="65535" exp="area" ref3D="1" dr="$A$328:$XFD$454" dn="Z_1CA6CCC9_64EF_4CA9_9C9C_1E572976D134_.wvu.Rows" sId="1"/>
  </rrc>
  <rrc rId="1286" sId="1" ref="A419:XFD419" action="insertRow">
    <undo index="65535" exp="area" ref3D="1" dr="$A$897:$XFD$899" dn="Z_1CA6CCC9_64EF_4CA9_9C9C_1E572976D134_.wvu.Rows" sId="1"/>
    <undo index="65535" exp="area" ref3D="1" dr="$A$892:$XFD$894" dn="Z_1CA6CCC9_64EF_4CA9_9C9C_1E572976D134_.wvu.Rows" sId="1"/>
    <undo index="65535" exp="area" ref3D="1" dr="$A$869:$XFD$889" dn="Z_1CA6CCC9_64EF_4CA9_9C9C_1E572976D134_.wvu.Rows" sId="1"/>
    <undo index="65535" exp="area" ref3D="1" dr="$A$849:$XFD$867" dn="Z_1CA6CCC9_64EF_4CA9_9C9C_1E572976D134_.wvu.Rows" sId="1"/>
    <undo index="65535" exp="area" ref3D="1" dr="$A$843:$XFD$847" dn="Z_1CA6CCC9_64EF_4CA9_9C9C_1E572976D134_.wvu.Rows" sId="1"/>
    <undo index="65535" exp="area" ref3D="1" dr="$A$811:$XFD$840" dn="Z_1CA6CCC9_64EF_4CA9_9C9C_1E572976D134_.wvu.Rows" sId="1"/>
    <undo index="65535" exp="area" ref3D="1" dr="$A$796:$XFD$809" dn="Z_1CA6CCC9_64EF_4CA9_9C9C_1E572976D134_.wvu.Rows" sId="1"/>
    <undo index="65535" exp="area" ref3D="1" dr="$A$792:$XFD$794" dn="Z_1CA6CCC9_64EF_4CA9_9C9C_1E572976D134_.wvu.Rows" sId="1"/>
    <undo index="65535" exp="area" ref3D="1" dr="$A$768:$XFD$789" dn="Z_1CA6CCC9_64EF_4CA9_9C9C_1E572976D134_.wvu.Rows" sId="1"/>
    <undo index="65535" exp="area" ref3D="1" dr="$A$747:$XFD$766" dn="Z_1CA6CCC9_64EF_4CA9_9C9C_1E572976D134_.wvu.Rows" sId="1"/>
    <undo index="65535" exp="area" ref3D="1" dr="$A$695:$XFD$744" dn="Z_1CA6CCC9_64EF_4CA9_9C9C_1E572976D134_.wvu.Rows" sId="1"/>
    <undo index="65535" exp="area" ref3D="1" dr="$A$677:$XFD$693" dn="Z_1CA6CCC9_64EF_4CA9_9C9C_1E572976D134_.wvu.Rows" sId="1"/>
    <undo index="65535" exp="area" ref3D="1" dr="$A$654:$XFD$675" dn="Z_1CA6CCC9_64EF_4CA9_9C9C_1E572976D134_.wvu.Rows" sId="1"/>
    <undo index="65535" exp="area" ref3D="1" dr="$A$589:$XFD$652" dn="Z_1CA6CCC9_64EF_4CA9_9C9C_1E572976D134_.wvu.Rows" sId="1"/>
    <undo index="65535" exp="area" ref3D="1" dr="$A$567:$XFD$587" dn="Z_1CA6CCC9_64EF_4CA9_9C9C_1E572976D134_.wvu.Rows" sId="1"/>
    <undo index="65535" exp="area" ref3D="1" dr="$A$560:$XFD$564" dn="Z_1CA6CCC9_64EF_4CA9_9C9C_1E572976D134_.wvu.Rows" sId="1"/>
    <undo index="65535" exp="area" ref3D="1" dr="$A$538:$XFD$557" dn="Z_1CA6CCC9_64EF_4CA9_9C9C_1E572976D134_.wvu.Rows" sId="1"/>
    <undo index="65535" exp="area" ref3D="1" dr="$A$457:$XFD$536" dn="Z_1CA6CCC9_64EF_4CA9_9C9C_1E572976D134_.wvu.Rows" sId="1"/>
    <undo index="65535" exp="area" ref3D="1" dr="$A$328:$XFD$455" dn="Z_1CA6CCC9_64EF_4CA9_9C9C_1E572976D134_.wvu.Rows" sId="1"/>
  </rrc>
  <rrc rId="1287" sId="1" ref="A419:XFD419" action="insertRow">
    <undo index="65535" exp="area" ref3D="1" dr="$A$898:$XFD$900" dn="Z_1CA6CCC9_64EF_4CA9_9C9C_1E572976D134_.wvu.Rows" sId="1"/>
    <undo index="65535" exp="area" ref3D="1" dr="$A$893:$XFD$895" dn="Z_1CA6CCC9_64EF_4CA9_9C9C_1E572976D134_.wvu.Rows" sId="1"/>
    <undo index="65535" exp="area" ref3D="1" dr="$A$870:$XFD$890" dn="Z_1CA6CCC9_64EF_4CA9_9C9C_1E572976D134_.wvu.Rows" sId="1"/>
    <undo index="65535" exp="area" ref3D="1" dr="$A$850:$XFD$868" dn="Z_1CA6CCC9_64EF_4CA9_9C9C_1E572976D134_.wvu.Rows" sId="1"/>
    <undo index="65535" exp="area" ref3D="1" dr="$A$844:$XFD$848" dn="Z_1CA6CCC9_64EF_4CA9_9C9C_1E572976D134_.wvu.Rows" sId="1"/>
    <undo index="65535" exp="area" ref3D="1" dr="$A$812:$XFD$841" dn="Z_1CA6CCC9_64EF_4CA9_9C9C_1E572976D134_.wvu.Rows" sId="1"/>
    <undo index="65535" exp="area" ref3D="1" dr="$A$797:$XFD$810" dn="Z_1CA6CCC9_64EF_4CA9_9C9C_1E572976D134_.wvu.Rows" sId="1"/>
    <undo index="65535" exp="area" ref3D="1" dr="$A$793:$XFD$795" dn="Z_1CA6CCC9_64EF_4CA9_9C9C_1E572976D134_.wvu.Rows" sId="1"/>
    <undo index="65535" exp="area" ref3D="1" dr="$A$769:$XFD$790" dn="Z_1CA6CCC9_64EF_4CA9_9C9C_1E572976D134_.wvu.Rows" sId="1"/>
    <undo index="65535" exp="area" ref3D="1" dr="$A$748:$XFD$767" dn="Z_1CA6CCC9_64EF_4CA9_9C9C_1E572976D134_.wvu.Rows" sId="1"/>
    <undo index="65535" exp="area" ref3D="1" dr="$A$696:$XFD$745" dn="Z_1CA6CCC9_64EF_4CA9_9C9C_1E572976D134_.wvu.Rows" sId="1"/>
    <undo index="65535" exp="area" ref3D="1" dr="$A$678:$XFD$694" dn="Z_1CA6CCC9_64EF_4CA9_9C9C_1E572976D134_.wvu.Rows" sId="1"/>
    <undo index="65535" exp="area" ref3D="1" dr="$A$655:$XFD$676" dn="Z_1CA6CCC9_64EF_4CA9_9C9C_1E572976D134_.wvu.Rows" sId="1"/>
    <undo index="65535" exp="area" ref3D="1" dr="$A$590:$XFD$653" dn="Z_1CA6CCC9_64EF_4CA9_9C9C_1E572976D134_.wvu.Rows" sId="1"/>
    <undo index="65535" exp="area" ref3D="1" dr="$A$568:$XFD$588" dn="Z_1CA6CCC9_64EF_4CA9_9C9C_1E572976D134_.wvu.Rows" sId="1"/>
    <undo index="65535" exp="area" ref3D="1" dr="$A$561:$XFD$565" dn="Z_1CA6CCC9_64EF_4CA9_9C9C_1E572976D134_.wvu.Rows" sId="1"/>
    <undo index="65535" exp="area" ref3D="1" dr="$A$539:$XFD$558" dn="Z_1CA6CCC9_64EF_4CA9_9C9C_1E572976D134_.wvu.Rows" sId="1"/>
    <undo index="65535" exp="area" ref3D="1" dr="$A$458:$XFD$537" dn="Z_1CA6CCC9_64EF_4CA9_9C9C_1E572976D134_.wvu.Rows" sId="1"/>
    <undo index="65535" exp="area" ref3D="1" dr="$A$328:$XFD$456" dn="Z_1CA6CCC9_64EF_4CA9_9C9C_1E572976D134_.wvu.Rows" sId="1"/>
  </rrc>
  <rrc rId="1288" sId="1" ref="A419:XFD420" action="insertRow">
    <undo index="65535" exp="area" ref3D="1" dr="$A$899:$XFD$901" dn="Z_1CA6CCC9_64EF_4CA9_9C9C_1E572976D134_.wvu.Rows" sId="1"/>
    <undo index="65535" exp="area" ref3D="1" dr="$A$894:$XFD$896" dn="Z_1CA6CCC9_64EF_4CA9_9C9C_1E572976D134_.wvu.Rows" sId="1"/>
    <undo index="65535" exp="area" ref3D="1" dr="$A$871:$XFD$891" dn="Z_1CA6CCC9_64EF_4CA9_9C9C_1E572976D134_.wvu.Rows" sId="1"/>
    <undo index="65535" exp="area" ref3D="1" dr="$A$851:$XFD$869" dn="Z_1CA6CCC9_64EF_4CA9_9C9C_1E572976D134_.wvu.Rows" sId="1"/>
    <undo index="65535" exp="area" ref3D="1" dr="$A$845:$XFD$849" dn="Z_1CA6CCC9_64EF_4CA9_9C9C_1E572976D134_.wvu.Rows" sId="1"/>
    <undo index="65535" exp="area" ref3D="1" dr="$A$813:$XFD$842" dn="Z_1CA6CCC9_64EF_4CA9_9C9C_1E572976D134_.wvu.Rows" sId="1"/>
    <undo index="65535" exp="area" ref3D="1" dr="$A$798:$XFD$811" dn="Z_1CA6CCC9_64EF_4CA9_9C9C_1E572976D134_.wvu.Rows" sId="1"/>
    <undo index="65535" exp="area" ref3D="1" dr="$A$794:$XFD$796" dn="Z_1CA6CCC9_64EF_4CA9_9C9C_1E572976D134_.wvu.Rows" sId="1"/>
    <undo index="65535" exp="area" ref3D="1" dr="$A$770:$XFD$791" dn="Z_1CA6CCC9_64EF_4CA9_9C9C_1E572976D134_.wvu.Rows" sId="1"/>
    <undo index="65535" exp="area" ref3D="1" dr="$A$749:$XFD$768" dn="Z_1CA6CCC9_64EF_4CA9_9C9C_1E572976D134_.wvu.Rows" sId="1"/>
    <undo index="65535" exp="area" ref3D="1" dr="$A$697:$XFD$746" dn="Z_1CA6CCC9_64EF_4CA9_9C9C_1E572976D134_.wvu.Rows" sId="1"/>
    <undo index="65535" exp="area" ref3D="1" dr="$A$679:$XFD$695" dn="Z_1CA6CCC9_64EF_4CA9_9C9C_1E572976D134_.wvu.Rows" sId="1"/>
    <undo index="65535" exp="area" ref3D="1" dr="$A$656:$XFD$677" dn="Z_1CA6CCC9_64EF_4CA9_9C9C_1E572976D134_.wvu.Rows" sId="1"/>
    <undo index="65535" exp="area" ref3D="1" dr="$A$591:$XFD$654" dn="Z_1CA6CCC9_64EF_4CA9_9C9C_1E572976D134_.wvu.Rows" sId="1"/>
    <undo index="65535" exp="area" ref3D="1" dr="$A$569:$XFD$589" dn="Z_1CA6CCC9_64EF_4CA9_9C9C_1E572976D134_.wvu.Rows" sId="1"/>
    <undo index="65535" exp="area" ref3D="1" dr="$A$562:$XFD$566" dn="Z_1CA6CCC9_64EF_4CA9_9C9C_1E572976D134_.wvu.Rows" sId="1"/>
    <undo index="65535" exp="area" ref3D="1" dr="$A$540:$XFD$559" dn="Z_1CA6CCC9_64EF_4CA9_9C9C_1E572976D134_.wvu.Rows" sId="1"/>
    <undo index="65535" exp="area" ref3D="1" dr="$A$459:$XFD$538" dn="Z_1CA6CCC9_64EF_4CA9_9C9C_1E572976D134_.wvu.Rows" sId="1"/>
    <undo index="65535" exp="area" ref3D="1" dr="$A$328:$XFD$457" dn="Z_1CA6CCC9_64EF_4CA9_9C9C_1E572976D134_.wvu.Rows" sId="1"/>
  </rrc>
  <rcc rId="1289" sId="1" odxf="1" s="1" dxf="1">
    <nc r="A419" t="inlineStr">
      <is>
        <t>Расходы, направленные на модернизацию коммунальной инфраструктуры (Ремонт колодцев водоснабжения по ул. Ленина от ул. Лазо до ул. Партизанская)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0" sId="1" odxf="1" dxf="1">
    <nc r="A42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1" sId="1" odxf="1" s="1" dxf="1">
    <nc r="A421" t="inlineStr">
      <is>
        <t>Расходы, направленные на модернизацию коммунальной инфраструктуры (Ремонт колодцев водоснабжения по ул. Ленина от ул. Пушкина до ул. Лазо)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2" sId="1" odxf="1" dxf="1">
    <nc r="A42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3" sId="1" odxf="1" s="1" dxf="1">
    <nc r="A423" t="inlineStr">
      <is>
    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4" sId="1" odxf="1" dxf="1">
    <nc r="A424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5" sId="1" odxf="1" s="1" dxf="1">
    <nc r="A425" t="inlineStr">
      <is>
    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6" sId="1" odxf="1" dxf="1">
    <nc r="A426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7" sId="1" odxf="1" s="1" dxf="1">
    <nc r="A427" t="inlineStr">
      <is>
        <t>Расходы, направленные на модернизацию коммунальной инфраструктуры (Ремонт тепловой сети по ул. Октябрьская (1 этап)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8" sId="1" odxf="1" dxf="1">
    <nc r="A428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9" sId="1" odxf="1" s="1" dxf="1">
    <nc r="A429" t="inlineStr">
      <is>
        <t>Расходы, направленные на модернизацию коммунальной инфраструктуры (Ремонт тепловой сети по ул. Октябрьская (2 этап)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0" sId="1" odxf="1" dxf="1">
    <nc r="A43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1" sId="1" odxf="1" s="1" dxf="1">
    <nc r="A431" t="inlineStr">
      <is>
    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2" sId="1" odxf="1" dxf="1">
    <nc r="A43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3" sId="1" odxf="1" s="1" dxf="1">
    <nc r="A433" t="inlineStr">
      <is>
    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4" sId="1" odxf="1" dxf="1">
    <nc r="A434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5" sId="1" odxf="1" s="1" dxf="1">
    <nc r="A435" t="inlineStr">
      <is>
    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6" sId="1" odxf="1" dxf="1">
    <nc r="A436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7" sId="1" odxf="1" s="1" dxf="1">
    <nc r="A437" t="inlineStr">
      <is>
        <t>Расходы, направленные на модернизацию коммунальной инфраструктуры (Замена теплотрассы и ГВС верхнего поселка с. Белогорье)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8" sId="1" odxf="1" dxf="1">
    <nc r="A438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9" sId="1" odxf="1" s="1" dxf="1">
    <nc r="A439" t="inlineStr">
      <is>
        <t>Расходы, направленные на модернизацию коммунальной инфраструктуры (Ремонт тепловых сетей перекрестка ул. Горького - ул. Загородная)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10" sId="1" odxf="1" dxf="1">
    <nc r="A44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1" sId="1" odxf="1" dxf="1">
    <nc r="B419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2" sId="1" odxf="1" dxf="1">
    <nc r="C419" t="inlineStr">
      <is>
        <t>03 2 01 S7429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19" start="0" length="0">
    <dxf>
      <font>
        <sz val="12"/>
        <name val="Times New Roman"/>
        <family val="1"/>
      </font>
    </dxf>
  </rfmt>
  <rcc rId="1313" sId="1" odxf="1" dxf="1">
    <nc r="B420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4" sId="1" odxf="1" dxf="1">
    <nc r="C420" t="inlineStr">
      <is>
        <t>03 2 01 S7429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5" sId="1" odxf="1" dxf="1">
    <nc r="D42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6" sId="1" odxf="1" dxf="1">
    <nc r="B421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7" sId="1" odxf="1" dxf="1">
    <nc r="C421" t="inlineStr">
      <is>
        <t>03 2 01 S7430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1" start="0" length="0">
    <dxf>
      <font>
        <sz val="12"/>
        <name val="Times New Roman"/>
        <family val="1"/>
      </font>
    </dxf>
  </rfmt>
  <rcc rId="1318" sId="1" odxf="1" dxf="1">
    <nc r="B422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9" sId="1" odxf="1" dxf="1">
    <nc r="C422" t="inlineStr">
      <is>
        <t>03 2 01 S7430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0" sId="1" odxf="1" dxf="1">
    <nc r="D42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1" sId="1" odxf="1" dxf="1">
    <nc r="B423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2" sId="1" odxf="1" dxf="1">
    <nc r="C423" t="inlineStr">
      <is>
        <t>03 2 01 S7431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3" start="0" length="0">
    <dxf>
      <font>
        <sz val="12"/>
        <name val="Times New Roman"/>
        <family val="1"/>
      </font>
    </dxf>
  </rfmt>
  <rcc rId="1323" sId="1" odxf="1" dxf="1">
    <nc r="B424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4" sId="1" odxf="1" dxf="1">
    <nc r="C424" t="inlineStr">
      <is>
        <t>03 2 01 S7431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5" sId="1" odxf="1" dxf="1">
    <nc r="D424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6" sId="1" odxf="1" dxf="1">
    <nc r="B425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7" sId="1" odxf="1" dxf="1">
    <nc r="C425" t="inlineStr">
      <is>
        <t>03 2 01 S7432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5" start="0" length="0">
    <dxf>
      <font>
        <sz val="12"/>
        <name val="Times New Roman"/>
        <family val="1"/>
      </font>
    </dxf>
  </rfmt>
  <rcc rId="1328" sId="1" odxf="1" dxf="1">
    <nc r="B426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9" sId="1" odxf="1" dxf="1">
    <nc r="C426" t="inlineStr">
      <is>
        <t>03 2 01 S7432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0" sId="1" odxf="1" dxf="1">
    <nc r="D426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1" sId="1" odxf="1" dxf="1">
    <nc r="B427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2" sId="1" odxf="1" dxf="1">
    <nc r="C427" t="inlineStr">
      <is>
        <t>03 2 01 S7433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7" start="0" length="0">
    <dxf>
      <font>
        <sz val="12"/>
        <name val="Times New Roman"/>
        <family val="1"/>
      </font>
    </dxf>
  </rfmt>
  <rcc rId="1333" sId="1" odxf="1" dxf="1">
    <nc r="B428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4" sId="1" odxf="1" dxf="1">
    <nc r="C428" t="inlineStr">
      <is>
        <t>03 2 01 S7433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5" sId="1" odxf="1" dxf="1">
    <nc r="D428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6" sId="1" odxf="1" dxf="1">
    <nc r="B429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7" sId="1" odxf="1" dxf="1">
    <nc r="C429" t="inlineStr">
      <is>
        <t>03 2 01 S7434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9" start="0" length="0">
    <dxf>
      <font>
        <sz val="12"/>
        <name val="Times New Roman"/>
        <family val="1"/>
      </font>
    </dxf>
  </rfmt>
  <rcc rId="1338" sId="1" odxf="1" dxf="1">
    <nc r="B430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9" sId="1" odxf="1" dxf="1">
    <nc r="C430" t="inlineStr">
      <is>
        <t>03 2 01 S7434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0" sId="1" odxf="1" dxf="1">
    <nc r="D43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1" sId="1" odxf="1" dxf="1">
    <nc r="B431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2" sId="1" odxf="1" dxf="1">
    <nc r="C431" t="inlineStr">
      <is>
        <t>03 2 01 S7436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1" start="0" length="0">
    <dxf>
      <font>
        <sz val="12"/>
        <name val="Times New Roman"/>
        <family val="1"/>
      </font>
    </dxf>
  </rfmt>
  <rcc rId="1343" sId="1" odxf="1" dxf="1">
    <nc r="B432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4" sId="1" odxf="1" dxf="1">
    <nc r="C432" t="inlineStr">
      <is>
        <t>03 2 01 S7436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5" sId="1" odxf="1" dxf="1">
    <nc r="D43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6" sId="1" odxf="1" dxf="1">
    <nc r="B433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7" sId="1" odxf="1" dxf="1">
    <nc r="C433" t="inlineStr">
      <is>
        <t>03 2 01 S7437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3" start="0" length="0">
    <dxf>
      <font>
        <sz val="12"/>
        <name val="Times New Roman"/>
        <family val="1"/>
      </font>
    </dxf>
  </rfmt>
  <rcc rId="1348" sId="1" odxf="1" dxf="1">
    <nc r="B434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9" sId="1" odxf="1" dxf="1">
    <nc r="C434" t="inlineStr">
      <is>
        <t>03 2 01 S7437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0" sId="1" odxf="1" dxf="1">
    <nc r="D434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1" sId="1" odxf="1" dxf="1">
    <nc r="B435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2" sId="1" odxf="1" dxf="1">
    <nc r="C435" t="inlineStr">
      <is>
        <t>03 2 01 S7438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5" start="0" length="0">
    <dxf>
      <font>
        <sz val="12"/>
        <name val="Times New Roman"/>
        <family val="1"/>
      </font>
    </dxf>
  </rfmt>
  <rcc rId="1353" sId="1" odxf="1" dxf="1">
    <nc r="B436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4" sId="1" odxf="1" dxf="1">
    <nc r="C436" t="inlineStr">
      <is>
        <t>03 2 01 S7438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5" sId="1" odxf="1" dxf="1">
    <nc r="D436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6" sId="1" odxf="1" dxf="1">
    <nc r="B437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7" sId="1" odxf="1" dxf="1">
    <nc r="C437" t="inlineStr">
      <is>
        <t>03 2 01 S7439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7" start="0" length="0">
    <dxf>
      <font>
        <sz val="12"/>
        <name val="Times New Roman"/>
        <family val="1"/>
      </font>
    </dxf>
  </rfmt>
  <rcc rId="1358" sId="1" odxf="1" dxf="1">
    <nc r="B438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9" sId="1" odxf="1" dxf="1">
    <nc r="C438" t="inlineStr">
      <is>
        <t>03 2 01 S7439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0" sId="1" odxf="1" dxf="1">
    <nc r="D438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1" sId="1" odxf="1" dxf="1">
    <nc r="B439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2" sId="1" odxf="1" dxf="1">
    <nc r="C439" t="inlineStr">
      <is>
        <t>03 2 01 S7440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9" start="0" length="0">
    <dxf>
      <font>
        <sz val="12"/>
        <name val="Times New Roman"/>
        <family val="1"/>
      </font>
    </dxf>
  </rfmt>
  <rcc rId="1363" sId="1" odxf="1" dxf="1">
    <nc r="B440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4" sId="1" odxf="1" dxf="1">
    <nc r="C440" t="inlineStr">
      <is>
        <t>03 2 01 S7440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5" sId="1" odxf="1" dxf="1">
    <nc r="D44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6" sId="1">
    <nc r="E420">
      <f>30+470.6</f>
    </nc>
  </rcc>
  <rcc rId="1367" sId="1">
    <nc r="E422">
      <f>29.8+467.1</f>
    </nc>
  </rcc>
  <rcc rId="1368" sId="1">
    <nc r="E424">
      <f>7+110.1</f>
    </nc>
  </rcc>
  <rcc rId="1369" sId="1">
    <nc r="E426">
      <f>31.4+491.6</f>
    </nc>
  </rcc>
  <rcc rId="1370" sId="1">
    <nc r="E428">
      <f>35.9+562.2</f>
    </nc>
  </rcc>
  <rcc rId="1371" sId="1">
    <nc r="E430">
      <f>16.4+257.7</f>
    </nc>
  </rcc>
  <rcc rId="1372" sId="1">
    <nc r="E432">
      <f>34.7+543.1</f>
    </nc>
  </rcc>
  <rcc rId="1373" sId="1">
    <nc r="E434">
      <f>34.5+540.7</f>
    </nc>
  </rcc>
  <rcc rId="1374" sId="1">
    <nc r="E436">
      <f>34.8+545.6</f>
    </nc>
  </rcc>
  <rcc rId="1375" sId="1">
    <nc r="E438">
      <f>1584.1+24817.7</f>
    </nc>
  </rcc>
  <rcc rId="1376" sId="1">
    <nc r="E440">
      <f>35.9+562.8</f>
    </nc>
  </rcc>
  <rcc rId="1377" sId="1">
    <nc r="E419">
      <f>+E420</f>
    </nc>
  </rcc>
  <rcc rId="1378" sId="1">
    <nc r="E421">
      <f>+E422</f>
    </nc>
  </rcc>
  <rcc rId="1379" sId="1">
    <nc r="E423">
      <f>+E424</f>
    </nc>
  </rcc>
  <rcc rId="1380" sId="1">
    <nc r="E425">
      <f>+E426</f>
    </nc>
  </rcc>
  <rcc rId="1381" sId="1">
    <nc r="E427">
      <f>+E428</f>
    </nc>
  </rcc>
  <rcc rId="1382" sId="1">
    <nc r="E429">
      <f>+E430</f>
    </nc>
  </rcc>
  <rcc rId="1383" sId="1">
    <nc r="E431">
      <f>+E432</f>
    </nc>
  </rcc>
  <rcc rId="1384" sId="1">
    <nc r="E433">
      <f>+E434</f>
    </nc>
  </rcc>
  <rcc rId="1385" sId="1">
    <nc r="E435">
      <f>+E436</f>
    </nc>
  </rcc>
  <rcc rId="1386" sId="1">
    <nc r="E437">
      <f>+E438</f>
    </nc>
  </rcc>
  <rcc rId="1387" sId="1">
    <nc r="E439">
      <f>+E440</f>
    </nc>
  </rcc>
  <rcc rId="1388" sId="1">
    <oc r="E334">
      <f>E335+E337+E339+E341+E359+E361+E363+E365+E367+E349+E357+E369+E371+E373+E375+E377+E379+E355+E381+E383+E385+E387+E389+E391+E393+E395+E397+E399+E401+E403+E411+E405+E407+E409+E343+E345+E347</f>
    </oc>
    <nc r="E334">
      <f>E335+E337+E339+E341+E359+E367+E369+E371+E373+E349+E357+E375+E377+E379+E381+E383+E385+E355+E387+E389+E391+E393+E395+E397+E399+E401+E403+E405+E407+E409+E417+E411+E413+E415+E343+E345+E347+E351+E353+E361+E363+E365+E419+E421+E423+E427+E429+E431+E433+E435+E437+E439</f>
    </nc>
  </rcc>
  <rcc rId="1389" sId="1">
    <oc r="F334">
      <f>F335+F337+F339+F341+F359+F361+F363+F365+F367+F349+F357+F369+F371+F373+F375+F377+F379+F355+F381+F383+F385+F387+F389+F391+F393+F395+F397+F399+F401+F403+F411+F405+F407+F409</f>
    </oc>
    <nc r="F334">
      <f>F335+F337+F339+F341+F359+F367+F369+F371+F373+F349+F357+F375+F377+F379+F381+F383+F385+F355+F387+F389+F391+F393+F395+F397+F399+F401+F403+F405+F407+F409+F417+F411+F413+F415+F343+F345+F347+F351+F353+F361+F363+F365+F419+F421+F423+F427+F429+F431+F433+F435+F437+F439</f>
    </nc>
  </rcc>
  <rcc rId="1390" sId="1">
    <oc r="G334">
      <f>G335+G337+G339+G341+G359+G361+G363+G365+G367+G349+G357+G369+G371+G373+G375+G377+G379+G355+G381+G383+G385+G387+G389+G391+G393+G395+G397+G399+G401+G403+G411+G405+G407+G409</f>
    </oc>
    <nc r="G334">
      <f>G335+G337+G339+G341+G359+G367+G369+G371+G373+G349+G357+G375+G377+G379+G381+G383+G385+G355+G387+G389+G391+G393+G395+G397+G399+G401+G403+G405+G407+G409+G417+G411+G413+G415+G343+G345+G347+G351+G353+G361+G363+G365+G419+G421+G423+G427+G429+G431+G433+G435+G437+G439</f>
    </nc>
  </rcc>
  <rcc rId="1391" sId="1">
    <nc r="F419">
      <f>+F420</f>
    </nc>
  </rcc>
  <rcc rId="1392" sId="1">
    <nc r="G419">
      <f>+G420</f>
    </nc>
  </rcc>
  <rcc rId="1393" sId="1">
    <nc r="F421">
      <f>+F422</f>
    </nc>
  </rcc>
  <rcc rId="1394" sId="1">
    <nc r="G421">
      <f>+G422</f>
    </nc>
  </rcc>
  <rcc rId="1395" sId="1">
    <nc r="F423">
      <f>+F424</f>
    </nc>
  </rcc>
  <rcc rId="1396" sId="1">
    <nc r="G423">
      <f>+G424</f>
    </nc>
  </rcc>
  <rcc rId="1397" sId="1">
    <nc r="F425">
      <f>+F426</f>
    </nc>
  </rcc>
  <rcc rId="1398" sId="1">
    <nc r="G425">
      <f>+G426</f>
    </nc>
  </rcc>
  <rcc rId="1399" sId="1">
    <nc r="F427">
      <f>+F428</f>
    </nc>
  </rcc>
  <rcc rId="1400" sId="1">
    <nc r="G427">
      <f>+G428</f>
    </nc>
  </rcc>
  <rcc rId="1401" sId="1">
    <nc r="F429">
      <f>+F430</f>
    </nc>
  </rcc>
  <rcc rId="1402" sId="1">
    <nc r="G429">
      <f>+G430</f>
    </nc>
  </rcc>
  <rcc rId="1403" sId="1">
    <nc r="F431">
      <f>+F432</f>
    </nc>
  </rcc>
  <rcc rId="1404" sId="1">
    <nc r="G431">
      <f>+G432</f>
    </nc>
  </rcc>
  <rcc rId="1405" sId="1">
    <nc r="F433">
      <f>+F434</f>
    </nc>
  </rcc>
  <rcc rId="1406" sId="1">
    <nc r="G433">
      <f>+G434</f>
    </nc>
  </rcc>
  <rcc rId="1407" sId="1">
    <nc r="F435">
      <f>+F436</f>
    </nc>
  </rcc>
  <rcc rId="1408" sId="1">
    <nc r="G435">
      <f>+G436</f>
    </nc>
  </rcc>
  <rcc rId="1409" sId="1">
    <nc r="F437">
      <f>+F438</f>
    </nc>
  </rcc>
  <rcc rId="1410" sId="1">
    <nc r="G437">
      <f>+G438</f>
    </nc>
  </rcc>
  <rcc rId="1411" sId="1">
    <nc r="F439">
      <f>+F440</f>
    </nc>
  </rcc>
  <rcc rId="1412" sId="1">
    <nc r="G439">
      <f>+G440</f>
    </nc>
  </rcc>
  <rcc rId="1413" sId="1">
    <oc r="E501">
      <f>128832.5+2008.8+15000</f>
    </oc>
    <nc r="E501">
      <f>128832.5+2008.8+15000+1595.7+25000</f>
    </nc>
  </rcc>
  <rcc rId="1414" sId="1" numFmtId="4">
    <oc r="E247">
      <v>41437.700000000004</v>
    </oc>
    <nc r="E247">
      <f>41437.7+614.1+9621.3</f>
    </nc>
  </rcc>
  <rrc rId="1415" sId="1" ref="A248:XFD248" action="insertRow">
    <undo index="65535" exp="area" ref3D="1" dr="$A$901:$XFD$903" dn="Z_1CA6CCC9_64EF_4CA9_9C9C_1E572976D134_.wvu.Rows" sId="1"/>
    <undo index="65535" exp="area" ref3D="1" dr="$A$896:$XFD$898" dn="Z_1CA6CCC9_64EF_4CA9_9C9C_1E572976D134_.wvu.Rows" sId="1"/>
    <undo index="65535" exp="area" ref3D="1" dr="$A$873:$XFD$893" dn="Z_1CA6CCC9_64EF_4CA9_9C9C_1E572976D134_.wvu.Rows" sId="1"/>
    <undo index="65535" exp="area" ref3D="1" dr="$A$853:$XFD$871" dn="Z_1CA6CCC9_64EF_4CA9_9C9C_1E572976D134_.wvu.Rows" sId="1"/>
    <undo index="65535" exp="area" ref3D="1" dr="$A$847:$XFD$851" dn="Z_1CA6CCC9_64EF_4CA9_9C9C_1E572976D134_.wvu.Rows" sId="1"/>
    <undo index="65535" exp="area" ref3D="1" dr="$A$815:$XFD$844" dn="Z_1CA6CCC9_64EF_4CA9_9C9C_1E572976D134_.wvu.Rows" sId="1"/>
    <undo index="65535" exp="area" ref3D="1" dr="$A$800:$XFD$813" dn="Z_1CA6CCC9_64EF_4CA9_9C9C_1E572976D134_.wvu.Rows" sId="1"/>
    <undo index="65535" exp="area" ref3D="1" dr="$A$796:$XFD$798" dn="Z_1CA6CCC9_64EF_4CA9_9C9C_1E572976D134_.wvu.Rows" sId="1"/>
    <undo index="65535" exp="area" ref3D="1" dr="$A$772:$XFD$793" dn="Z_1CA6CCC9_64EF_4CA9_9C9C_1E572976D134_.wvu.Rows" sId="1"/>
    <undo index="65535" exp="area" ref3D="1" dr="$A$751:$XFD$770" dn="Z_1CA6CCC9_64EF_4CA9_9C9C_1E572976D134_.wvu.Rows" sId="1"/>
    <undo index="65535" exp="area" ref3D="1" dr="$A$699:$XFD$748" dn="Z_1CA6CCC9_64EF_4CA9_9C9C_1E572976D134_.wvu.Rows" sId="1"/>
    <undo index="65535" exp="area" ref3D="1" dr="$A$681:$XFD$697" dn="Z_1CA6CCC9_64EF_4CA9_9C9C_1E572976D134_.wvu.Rows" sId="1"/>
    <undo index="65535" exp="area" ref3D="1" dr="$A$658:$XFD$679" dn="Z_1CA6CCC9_64EF_4CA9_9C9C_1E572976D134_.wvu.Rows" sId="1"/>
    <undo index="65535" exp="area" ref3D="1" dr="$A$593:$XFD$656" dn="Z_1CA6CCC9_64EF_4CA9_9C9C_1E572976D134_.wvu.Rows" sId="1"/>
    <undo index="65535" exp="area" ref3D="1" dr="$A$571:$XFD$591" dn="Z_1CA6CCC9_64EF_4CA9_9C9C_1E572976D134_.wvu.Rows" sId="1"/>
    <undo index="65535" exp="area" ref3D="1" dr="$A$564:$XFD$568" dn="Z_1CA6CCC9_64EF_4CA9_9C9C_1E572976D134_.wvu.Rows" sId="1"/>
    <undo index="65535" exp="area" ref3D="1" dr="$A$542:$XFD$561" dn="Z_1CA6CCC9_64EF_4CA9_9C9C_1E572976D134_.wvu.Rows" sId="1"/>
    <undo index="65535" exp="area" ref3D="1" dr="$A$461:$XFD$540" dn="Z_1CA6CCC9_64EF_4CA9_9C9C_1E572976D134_.wvu.Rows" sId="1"/>
    <undo index="65535" exp="area" ref3D="1" dr="$A$328:$XFD$459" dn="Z_1CA6CCC9_64EF_4CA9_9C9C_1E572976D134_.wvu.Rows" sId="1"/>
    <undo index="65535" exp="area" ref3D="1" dr="$A$289:$XFD$326" dn="Z_1CA6CCC9_64EF_4CA9_9C9C_1E572976D134_.wvu.Rows" sId="1"/>
    <undo index="65535" exp="area" ref3D="1" dr="$A$262:$XFD$286" dn="Z_1CA6CCC9_64EF_4CA9_9C9C_1E572976D134_.wvu.Rows" sId="1"/>
    <undo index="65535" exp="area" ref3D="1" dr="$A$167:$XFD$260" dn="Z_1CA6CCC9_64EF_4CA9_9C9C_1E572976D134_.wvu.Rows" sId="1"/>
  </rrc>
  <rrc rId="1416" sId="1" ref="A248:XFD248" action="insertRow">
    <undo index="65535" exp="area" ref3D="1" dr="$A$902:$XFD$904" dn="Z_1CA6CCC9_64EF_4CA9_9C9C_1E572976D134_.wvu.Rows" sId="1"/>
    <undo index="65535" exp="area" ref3D="1" dr="$A$897:$XFD$899" dn="Z_1CA6CCC9_64EF_4CA9_9C9C_1E572976D134_.wvu.Rows" sId="1"/>
    <undo index="65535" exp="area" ref3D="1" dr="$A$874:$XFD$894" dn="Z_1CA6CCC9_64EF_4CA9_9C9C_1E572976D134_.wvu.Rows" sId="1"/>
    <undo index="65535" exp="area" ref3D="1" dr="$A$854:$XFD$872" dn="Z_1CA6CCC9_64EF_4CA9_9C9C_1E572976D134_.wvu.Rows" sId="1"/>
    <undo index="65535" exp="area" ref3D="1" dr="$A$848:$XFD$852" dn="Z_1CA6CCC9_64EF_4CA9_9C9C_1E572976D134_.wvu.Rows" sId="1"/>
    <undo index="65535" exp="area" ref3D="1" dr="$A$816:$XFD$845" dn="Z_1CA6CCC9_64EF_4CA9_9C9C_1E572976D134_.wvu.Rows" sId="1"/>
    <undo index="65535" exp="area" ref3D="1" dr="$A$801:$XFD$814" dn="Z_1CA6CCC9_64EF_4CA9_9C9C_1E572976D134_.wvu.Rows" sId="1"/>
    <undo index="65535" exp="area" ref3D="1" dr="$A$797:$XFD$799" dn="Z_1CA6CCC9_64EF_4CA9_9C9C_1E572976D134_.wvu.Rows" sId="1"/>
    <undo index="65535" exp="area" ref3D="1" dr="$A$773:$XFD$794" dn="Z_1CA6CCC9_64EF_4CA9_9C9C_1E572976D134_.wvu.Rows" sId="1"/>
    <undo index="65535" exp="area" ref3D="1" dr="$A$752:$XFD$771" dn="Z_1CA6CCC9_64EF_4CA9_9C9C_1E572976D134_.wvu.Rows" sId="1"/>
    <undo index="65535" exp="area" ref3D="1" dr="$A$700:$XFD$749" dn="Z_1CA6CCC9_64EF_4CA9_9C9C_1E572976D134_.wvu.Rows" sId="1"/>
    <undo index="65535" exp="area" ref3D="1" dr="$A$682:$XFD$698" dn="Z_1CA6CCC9_64EF_4CA9_9C9C_1E572976D134_.wvu.Rows" sId="1"/>
    <undo index="65535" exp="area" ref3D="1" dr="$A$659:$XFD$680" dn="Z_1CA6CCC9_64EF_4CA9_9C9C_1E572976D134_.wvu.Rows" sId="1"/>
    <undo index="65535" exp="area" ref3D="1" dr="$A$594:$XFD$657" dn="Z_1CA6CCC9_64EF_4CA9_9C9C_1E572976D134_.wvu.Rows" sId="1"/>
    <undo index="65535" exp="area" ref3D="1" dr="$A$572:$XFD$592" dn="Z_1CA6CCC9_64EF_4CA9_9C9C_1E572976D134_.wvu.Rows" sId="1"/>
    <undo index="65535" exp="area" ref3D="1" dr="$A$565:$XFD$569" dn="Z_1CA6CCC9_64EF_4CA9_9C9C_1E572976D134_.wvu.Rows" sId="1"/>
    <undo index="65535" exp="area" ref3D="1" dr="$A$543:$XFD$562" dn="Z_1CA6CCC9_64EF_4CA9_9C9C_1E572976D134_.wvu.Rows" sId="1"/>
    <undo index="65535" exp="area" ref3D="1" dr="$A$462:$XFD$541" dn="Z_1CA6CCC9_64EF_4CA9_9C9C_1E572976D134_.wvu.Rows" sId="1"/>
    <undo index="65535" exp="area" ref3D="1" dr="$A$329:$XFD$460" dn="Z_1CA6CCC9_64EF_4CA9_9C9C_1E572976D134_.wvu.Rows" sId="1"/>
    <undo index="65535" exp="area" ref3D="1" dr="$A$290:$XFD$327" dn="Z_1CA6CCC9_64EF_4CA9_9C9C_1E572976D134_.wvu.Rows" sId="1"/>
    <undo index="65535" exp="area" ref3D="1" dr="$A$263:$XFD$287" dn="Z_1CA6CCC9_64EF_4CA9_9C9C_1E572976D134_.wvu.Rows" sId="1"/>
    <undo index="65535" exp="area" ref3D="1" dr="$A$167:$XFD$261" dn="Z_1CA6CCC9_64EF_4CA9_9C9C_1E572976D134_.wvu.Rows" sId="1"/>
  </rrc>
  <rcc rId="1417" sId="1" odxf="1" dxf="1">
    <nc r="A248" t="inlineStr">
      <is>
    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18" sId="1" odxf="1" dxf="1">
    <nc r="A249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alignment horizontal="left"/>
    </odxf>
    <ndxf>
      <font>
        <sz val="12"/>
        <name val="Times New Roman"/>
        <family val="1"/>
      </font>
      <alignment horizontal="general"/>
    </ndxf>
  </rcc>
  <rcc rId="1419" sId="1" odxf="1" s="1" dxf="1">
    <nc r="B248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0" sId="1" odxf="1" s="1" dxf="1">
    <nc r="C248" t="inlineStr">
      <is>
        <t>02 2 01 SД145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48" start="0" length="0">
    <dxf>
      <font>
        <sz val="12"/>
        <color auto="1"/>
        <name val="Times New Roman"/>
        <family val="1"/>
        <charset val="204"/>
        <scheme val="none"/>
      </font>
    </dxf>
  </rfmt>
  <rcc rId="1421" sId="1" odxf="1" s="1" dxf="1">
    <nc r="B249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2" sId="1" odxf="1" s="1" dxf="1">
    <nc r="C249" t="inlineStr">
      <is>
        <t>02 2 01 SД145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3" sId="1" odxf="1" s="1" dxf="1">
    <nc r="D249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4" sId="1">
    <nc r="E249">
      <f>36+564</f>
    </nc>
  </rcc>
  <rcc rId="1425" sId="1">
    <nc r="E248">
      <f>+E249</f>
    </nc>
  </rcc>
  <rcc rId="1426" sId="1" odxf="1" s="1" dxf="1">
    <nc r="F248">
      <f>+F249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427" sId="1" odxf="1" s="1" dxf="1">
    <nc r="G248">
      <f>+G249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428" sId="1">
    <oc r="E213">
      <f>E214+E216+E238+E240+E243+E250+E228+E218+E233+E230+E220+E236+E224+E245+E226</f>
    </oc>
    <nc r="E213">
      <f>E214+E216+E238+E240+E243+E250+E228+E218+E233+E230+E220+E236+E224+E245+E226+E248</f>
    </nc>
  </rcc>
  <rcc rId="1429" sId="1">
    <oc r="F213">
      <f>F214+F216+F238+F240+F243+F250+F228+F218+F233+F230+F220+F236+F224+F245+F222</f>
    </oc>
    <nc r="F213">
      <f>F214+F216+F238+F240+F243+F250+F228+F218+F233+F230+F220+F236+F224+F245+F226+F248</f>
    </nc>
  </rcc>
  <rcc rId="1430" sId="1">
    <oc r="G213">
      <f>G214+G216+G238+G240+G243+G250+G228+G218+G233+G230+G220+G236+G224+G245+G222</f>
    </oc>
    <nc r="G213">
      <f>G214+G216+G238+G240+G243+G250+G228+G218+G233+G230+G220+G236+G224+G245+G226+G248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рпр!$C$1:$C$923</formula>
    <oldFormula>рпр!$A$8:$G$905</oldFormula>
  </rdn>
  <rcv guid="{AA62EF5A-85DE-4BC8-95D5-4F54CE8CF3D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3" sId="1" numFmtId="4">
    <oc r="E418">
      <v>22302.5</v>
    </oc>
    <nc r="E418">
      <f>22302.5+69.9+1095.4</f>
    </nc>
  </rcc>
  <rrc rId="1434" sId="1" ref="A421:XFD421" action="insertRow">
    <undo index="65535" exp="area" ref3D="1" dr="$A$903:$XFD$905" dn="Z_1CA6CCC9_64EF_4CA9_9C9C_1E572976D134_.wvu.Rows" sId="1"/>
    <undo index="65535" exp="area" ref3D="1" dr="$A$898:$XFD$900" dn="Z_1CA6CCC9_64EF_4CA9_9C9C_1E572976D134_.wvu.Rows" sId="1"/>
    <undo index="65535" exp="area" ref3D="1" dr="$A$875:$XFD$895" dn="Z_1CA6CCC9_64EF_4CA9_9C9C_1E572976D134_.wvu.Rows" sId="1"/>
    <undo index="65535" exp="area" ref3D="1" dr="$A$855:$XFD$873" dn="Z_1CA6CCC9_64EF_4CA9_9C9C_1E572976D134_.wvu.Rows" sId="1"/>
    <undo index="65535" exp="area" ref3D="1" dr="$A$849:$XFD$853" dn="Z_1CA6CCC9_64EF_4CA9_9C9C_1E572976D134_.wvu.Rows" sId="1"/>
    <undo index="65535" exp="area" ref3D="1" dr="$A$817:$XFD$846" dn="Z_1CA6CCC9_64EF_4CA9_9C9C_1E572976D134_.wvu.Rows" sId="1"/>
    <undo index="65535" exp="area" ref3D="1" dr="$A$802:$XFD$815" dn="Z_1CA6CCC9_64EF_4CA9_9C9C_1E572976D134_.wvu.Rows" sId="1"/>
    <undo index="65535" exp="area" ref3D="1" dr="$A$798:$XFD$800" dn="Z_1CA6CCC9_64EF_4CA9_9C9C_1E572976D134_.wvu.Rows" sId="1"/>
    <undo index="65535" exp="area" ref3D="1" dr="$A$774:$XFD$795" dn="Z_1CA6CCC9_64EF_4CA9_9C9C_1E572976D134_.wvu.Rows" sId="1"/>
    <undo index="65535" exp="area" ref3D="1" dr="$A$753:$XFD$772" dn="Z_1CA6CCC9_64EF_4CA9_9C9C_1E572976D134_.wvu.Rows" sId="1"/>
    <undo index="65535" exp="area" ref3D="1" dr="$A$701:$XFD$750" dn="Z_1CA6CCC9_64EF_4CA9_9C9C_1E572976D134_.wvu.Rows" sId="1"/>
    <undo index="65535" exp="area" ref3D="1" dr="$A$683:$XFD$699" dn="Z_1CA6CCC9_64EF_4CA9_9C9C_1E572976D134_.wvu.Rows" sId="1"/>
    <undo index="65535" exp="area" ref3D="1" dr="$A$660:$XFD$681" dn="Z_1CA6CCC9_64EF_4CA9_9C9C_1E572976D134_.wvu.Rows" sId="1"/>
    <undo index="65535" exp="area" ref3D="1" dr="$A$595:$XFD$658" dn="Z_1CA6CCC9_64EF_4CA9_9C9C_1E572976D134_.wvu.Rows" sId="1"/>
    <undo index="65535" exp="area" ref3D="1" dr="$A$573:$XFD$593" dn="Z_1CA6CCC9_64EF_4CA9_9C9C_1E572976D134_.wvu.Rows" sId="1"/>
    <undo index="65535" exp="area" ref3D="1" dr="$A$566:$XFD$570" dn="Z_1CA6CCC9_64EF_4CA9_9C9C_1E572976D134_.wvu.Rows" sId="1"/>
    <undo index="65535" exp="area" ref3D="1" dr="$A$544:$XFD$563" dn="Z_1CA6CCC9_64EF_4CA9_9C9C_1E572976D134_.wvu.Rows" sId="1"/>
    <undo index="65535" exp="area" ref3D="1" dr="$A$463:$XFD$542" dn="Z_1CA6CCC9_64EF_4CA9_9C9C_1E572976D134_.wvu.Rows" sId="1"/>
    <undo index="65535" exp="area" ref3D="1" dr="$A$330:$XFD$461" dn="Z_1CA6CCC9_64EF_4CA9_9C9C_1E572976D134_.wvu.Rows" sId="1"/>
  </rrc>
  <rrc rId="1435" sId="1" ref="A421:XFD421" action="insertRow">
    <undo index="65535" exp="area" ref3D="1" dr="$A$904:$XFD$906" dn="Z_1CA6CCC9_64EF_4CA9_9C9C_1E572976D134_.wvu.Rows" sId="1"/>
    <undo index="65535" exp="area" ref3D="1" dr="$A$899:$XFD$901" dn="Z_1CA6CCC9_64EF_4CA9_9C9C_1E572976D134_.wvu.Rows" sId="1"/>
    <undo index="65535" exp="area" ref3D="1" dr="$A$876:$XFD$896" dn="Z_1CA6CCC9_64EF_4CA9_9C9C_1E572976D134_.wvu.Rows" sId="1"/>
    <undo index="65535" exp="area" ref3D="1" dr="$A$856:$XFD$874" dn="Z_1CA6CCC9_64EF_4CA9_9C9C_1E572976D134_.wvu.Rows" sId="1"/>
    <undo index="65535" exp="area" ref3D="1" dr="$A$850:$XFD$854" dn="Z_1CA6CCC9_64EF_4CA9_9C9C_1E572976D134_.wvu.Rows" sId="1"/>
    <undo index="65535" exp="area" ref3D="1" dr="$A$818:$XFD$847" dn="Z_1CA6CCC9_64EF_4CA9_9C9C_1E572976D134_.wvu.Rows" sId="1"/>
    <undo index="65535" exp="area" ref3D="1" dr="$A$803:$XFD$816" dn="Z_1CA6CCC9_64EF_4CA9_9C9C_1E572976D134_.wvu.Rows" sId="1"/>
    <undo index="65535" exp="area" ref3D="1" dr="$A$799:$XFD$801" dn="Z_1CA6CCC9_64EF_4CA9_9C9C_1E572976D134_.wvu.Rows" sId="1"/>
    <undo index="65535" exp="area" ref3D="1" dr="$A$775:$XFD$796" dn="Z_1CA6CCC9_64EF_4CA9_9C9C_1E572976D134_.wvu.Rows" sId="1"/>
    <undo index="65535" exp="area" ref3D="1" dr="$A$754:$XFD$773" dn="Z_1CA6CCC9_64EF_4CA9_9C9C_1E572976D134_.wvu.Rows" sId="1"/>
    <undo index="65535" exp="area" ref3D="1" dr="$A$702:$XFD$751" dn="Z_1CA6CCC9_64EF_4CA9_9C9C_1E572976D134_.wvu.Rows" sId="1"/>
    <undo index="65535" exp="area" ref3D="1" dr="$A$684:$XFD$700" dn="Z_1CA6CCC9_64EF_4CA9_9C9C_1E572976D134_.wvu.Rows" sId="1"/>
    <undo index="65535" exp="area" ref3D="1" dr="$A$661:$XFD$682" dn="Z_1CA6CCC9_64EF_4CA9_9C9C_1E572976D134_.wvu.Rows" sId="1"/>
    <undo index="65535" exp="area" ref3D="1" dr="$A$596:$XFD$659" dn="Z_1CA6CCC9_64EF_4CA9_9C9C_1E572976D134_.wvu.Rows" sId="1"/>
    <undo index="65535" exp="area" ref3D="1" dr="$A$574:$XFD$594" dn="Z_1CA6CCC9_64EF_4CA9_9C9C_1E572976D134_.wvu.Rows" sId="1"/>
    <undo index="65535" exp="area" ref3D="1" dr="$A$567:$XFD$571" dn="Z_1CA6CCC9_64EF_4CA9_9C9C_1E572976D134_.wvu.Rows" sId="1"/>
    <undo index="65535" exp="area" ref3D="1" dr="$A$545:$XFD$564" dn="Z_1CA6CCC9_64EF_4CA9_9C9C_1E572976D134_.wvu.Rows" sId="1"/>
    <undo index="65535" exp="area" ref3D="1" dr="$A$464:$XFD$543" dn="Z_1CA6CCC9_64EF_4CA9_9C9C_1E572976D134_.wvu.Rows" sId="1"/>
    <undo index="65535" exp="area" ref3D="1" dr="$A$330:$XFD$462" dn="Z_1CA6CCC9_64EF_4CA9_9C9C_1E572976D134_.wvu.Rows" sId="1"/>
  </rrc>
  <rcc rId="1436" sId="1" odxf="1" s="1" dxf="1">
    <nc r="A421" t="inlineStr">
      <is>
        <t>Расходы, направленные на модернизацию коммунальной инфраструктуры (Ремонт инженерных сетей пос. Мухинка (от ТК 1 до ТК 5)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</ndxf>
  </rcc>
  <rcc rId="1437" sId="1" odxf="1" s="1" dxf="1">
    <nc r="A422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</ndxf>
  </rcc>
  <rcc rId="1438" sId="1" odxf="1" dxf="1">
    <nc r="B421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39" sId="1" odxf="1" dxf="1">
    <nc r="C421" t="inlineStr">
      <is>
        <t>03 2 01 S7428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1" start="0" length="0">
    <dxf>
      <font>
        <sz val="12"/>
        <name val="Times New Roman"/>
        <family val="1"/>
      </font>
    </dxf>
  </rfmt>
  <rcc rId="1440" sId="1" odxf="1" dxf="1">
    <nc r="B422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41" sId="1" odxf="1" dxf="1">
    <nc r="C422" t="inlineStr">
      <is>
        <t>03 2 01 S7428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42" sId="1" odxf="1" dxf="1">
    <nc r="D42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43" sId="1">
    <nc r="E422">
      <f>270.4+4236.5</f>
    </nc>
  </rcc>
  <rcc rId="1444" sId="1">
    <nc r="E421">
      <f>+E422</f>
    </nc>
  </rcc>
  <rcc rId="1445" sId="1">
    <nc r="F421">
      <f>+F422</f>
    </nc>
  </rcc>
  <rcc rId="1446" sId="1">
    <nc r="G421">
      <f>+G422</f>
    </nc>
  </rcc>
  <rrc rId="1447" sId="1" ref="A435:XFD435" action="insertRow">
    <undo index="65535" exp="area" ref3D="1" dr="$A$905:$XFD$907" dn="Z_1CA6CCC9_64EF_4CA9_9C9C_1E572976D134_.wvu.Rows" sId="1"/>
    <undo index="65535" exp="area" ref3D="1" dr="$A$900:$XFD$902" dn="Z_1CA6CCC9_64EF_4CA9_9C9C_1E572976D134_.wvu.Rows" sId="1"/>
    <undo index="65535" exp="area" ref3D="1" dr="$A$877:$XFD$897" dn="Z_1CA6CCC9_64EF_4CA9_9C9C_1E572976D134_.wvu.Rows" sId="1"/>
    <undo index="65535" exp="area" ref3D="1" dr="$A$857:$XFD$875" dn="Z_1CA6CCC9_64EF_4CA9_9C9C_1E572976D134_.wvu.Rows" sId="1"/>
    <undo index="65535" exp="area" ref3D="1" dr="$A$851:$XFD$855" dn="Z_1CA6CCC9_64EF_4CA9_9C9C_1E572976D134_.wvu.Rows" sId="1"/>
    <undo index="65535" exp="area" ref3D="1" dr="$A$819:$XFD$848" dn="Z_1CA6CCC9_64EF_4CA9_9C9C_1E572976D134_.wvu.Rows" sId="1"/>
    <undo index="65535" exp="area" ref3D="1" dr="$A$804:$XFD$817" dn="Z_1CA6CCC9_64EF_4CA9_9C9C_1E572976D134_.wvu.Rows" sId="1"/>
    <undo index="65535" exp="area" ref3D="1" dr="$A$800:$XFD$802" dn="Z_1CA6CCC9_64EF_4CA9_9C9C_1E572976D134_.wvu.Rows" sId="1"/>
    <undo index="65535" exp="area" ref3D="1" dr="$A$776:$XFD$797" dn="Z_1CA6CCC9_64EF_4CA9_9C9C_1E572976D134_.wvu.Rows" sId="1"/>
    <undo index="65535" exp="area" ref3D="1" dr="$A$755:$XFD$774" dn="Z_1CA6CCC9_64EF_4CA9_9C9C_1E572976D134_.wvu.Rows" sId="1"/>
    <undo index="65535" exp="area" ref3D="1" dr="$A$703:$XFD$752" dn="Z_1CA6CCC9_64EF_4CA9_9C9C_1E572976D134_.wvu.Rows" sId="1"/>
    <undo index="65535" exp="area" ref3D="1" dr="$A$685:$XFD$701" dn="Z_1CA6CCC9_64EF_4CA9_9C9C_1E572976D134_.wvu.Rows" sId="1"/>
    <undo index="65535" exp="area" ref3D="1" dr="$A$662:$XFD$683" dn="Z_1CA6CCC9_64EF_4CA9_9C9C_1E572976D134_.wvu.Rows" sId="1"/>
    <undo index="65535" exp="area" ref3D="1" dr="$A$597:$XFD$660" dn="Z_1CA6CCC9_64EF_4CA9_9C9C_1E572976D134_.wvu.Rows" sId="1"/>
    <undo index="65535" exp="area" ref3D="1" dr="$A$575:$XFD$595" dn="Z_1CA6CCC9_64EF_4CA9_9C9C_1E572976D134_.wvu.Rows" sId="1"/>
    <undo index="65535" exp="area" ref3D="1" dr="$A$568:$XFD$572" dn="Z_1CA6CCC9_64EF_4CA9_9C9C_1E572976D134_.wvu.Rows" sId="1"/>
    <undo index="65535" exp="area" ref3D="1" dr="$A$546:$XFD$565" dn="Z_1CA6CCC9_64EF_4CA9_9C9C_1E572976D134_.wvu.Rows" sId="1"/>
    <undo index="65535" exp="area" ref3D="1" dr="$A$465:$XFD$544" dn="Z_1CA6CCC9_64EF_4CA9_9C9C_1E572976D134_.wvu.Rows" sId="1"/>
    <undo index="65535" exp="area" ref3D="1" dr="$A$330:$XFD$463" dn="Z_1CA6CCC9_64EF_4CA9_9C9C_1E572976D134_.wvu.Rows" sId="1"/>
  </rrc>
  <rrc rId="1448" sId="1" ref="A435:XFD435" action="insertRow">
    <undo index="65535" exp="area" ref3D="1" dr="$A$906:$XFD$908" dn="Z_1CA6CCC9_64EF_4CA9_9C9C_1E572976D134_.wvu.Rows" sId="1"/>
    <undo index="65535" exp="area" ref3D="1" dr="$A$901:$XFD$903" dn="Z_1CA6CCC9_64EF_4CA9_9C9C_1E572976D134_.wvu.Rows" sId="1"/>
    <undo index="65535" exp="area" ref3D="1" dr="$A$878:$XFD$898" dn="Z_1CA6CCC9_64EF_4CA9_9C9C_1E572976D134_.wvu.Rows" sId="1"/>
    <undo index="65535" exp="area" ref3D="1" dr="$A$858:$XFD$876" dn="Z_1CA6CCC9_64EF_4CA9_9C9C_1E572976D134_.wvu.Rows" sId="1"/>
    <undo index="65535" exp="area" ref3D="1" dr="$A$852:$XFD$856" dn="Z_1CA6CCC9_64EF_4CA9_9C9C_1E572976D134_.wvu.Rows" sId="1"/>
    <undo index="65535" exp="area" ref3D="1" dr="$A$820:$XFD$849" dn="Z_1CA6CCC9_64EF_4CA9_9C9C_1E572976D134_.wvu.Rows" sId="1"/>
    <undo index="65535" exp="area" ref3D="1" dr="$A$805:$XFD$818" dn="Z_1CA6CCC9_64EF_4CA9_9C9C_1E572976D134_.wvu.Rows" sId="1"/>
    <undo index="65535" exp="area" ref3D="1" dr="$A$801:$XFD$803" dn="Z_1CA6CCC9_64EF_4CA9_9C9C_1E572976D134_.wvu.Rows" sId="1"/>
    <undo index="65535" exp="area" ref3D="1" dr="$A$777:$XFD$798" dn="Z_1CA6CCC9_64EF_4CA9_9C9C_1E572976D134_.wvu.Rows" sId="1"/>
    <undo index="65535" exp="area" ref3D="1" dr="$A$756:$XFD$775" dn="Z_1CA6CCC9_64EF_4CA9_9C9C_1E572976D134_.wvu.Rows" sId="1"/>
    <undo index="65535" exp="area" ref3D="1" dr="$A$704:$XFD$753" dn="Z_1CA6CCC9_64EF_4CA9_9C9C_1E572976D134_.wvu.Rows" sId="1"/>
    <undo index="65535" exp="area" ref3D="1" dr="$A$686:$XFD$702" dn="Z_1CA6CCC9_64EF_4CA9_9C9C_1E572976D134_.wvu.Rows" sId="1"/>
    <undo index="65535" exp="area" ref3D="1" dr="$A$663:$XFD$684" dn="Z_1CA6CCC9_64EF_4CA9_9C9C_1E572976D134_.wvu.Rows" sId="1"/>
    <undo index="65535" exp="area" ref3D="1" dr="$A$598:$XFD$661" dn="Z_1CA6CCC9_64EF_4CA9_9C9C_1E572976D134_.wvu.Rows" sId="1"/>
    <undo index="65535" exp="area" ref3D="1" dr="$A$576:$XFD$596" dn="Z_1CA6CCC9_64EF_4CA9_9C9C_1E572976D134_.wvu.Rows" sId="1"/>
    <undo index="65535" exp="area" ref3D="1" dr="$A$569:$XFD$573" dn="Z_1CA6CCC9_64EF_4CA9_9C9C_1E572976D134_.wvu.Rows" sId="1"/>
    <undo index="65535" exp="area" ref3D="1" dr="$A$547:$XFD$566" dn="Z_1CA6CCC9_64EF_4CA9_9C9C_1E572976D134_.wvu.Rows" sId="1"/>
    <undo index="65535" exp="area" ref3D="1" dr="$A$466:$XFD$545" dn="Z_1CA6CCC9_64EF_4CA9_9C9C_1E572976D134_.wvu.Rows" sId="1"/>
    <undo index="65535" exp="area" ref3D="1" dr="$A$330:$XFD$464" dn="Z_1CA6CCC9_64EF_4CA9_9C9C_1E572976D134_.wvu.Rows" sId="1"/>
  </rrc>
  <rcc rId="1449" sId="1" odxf="1" s="1" dxf="1">
    <nc r="A435" t="inlineStr">
      <is>
    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1450" sId="1" odxf="1" s="1" dxf="1">
    <nc r="A43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1451" sId="1">
    <nc r="B435" t="inlineStr">
      <is>
        <t>0502</t>
      </is>
    </nc>
  </rcc>
  <rcc rId="1452" sId="1">
    <nc r="C435" t="inlineStr">
      <is>
        <t>03 2 01 S7435</t>
      </is>
    </nc>
  </rcc>
  <rcc rId="1453" sId="1">
    <nc r="B436" t="inlineStr">
      <is>
        <t>0502</t>
      </is>
    </nc>
  </rcc>
  <rcc rId="1454" sId="1">
    <nc r="C436" t="inlineStr">
      <is>
        <t>03 2 01 S7435</t>
      </is>
    </nc>
  </rcc>
  <rcc rId="1455" sId="1">
    <nc r="D436" t="inlineStr">
      <is>
        <t>200</t>
      </is>
    </nc>
  </rcc>
  <rcc rId="1456" sId="1">
    <nc r="E436">
      <f>426.1+6675.7</f>
    </nc>
  </rcc>
  <rcc rId="1457" sId="1">
    <nc r="E435">
      <f>+E436</f>
    </nc>
  </rcc>
  <rcc rId="1458" sId="1">
    <nc r="F435">
      <f>+F436</f>
    </nc>
  </rcc>
  <rcc rId="1459" sId="1">
    <nc r="G435">
      <f>+G436</f>
    </nc>
  </rcc>
  <rcc rId="1460" sId="1">
    <oc r="E336">
      <f>E337+E339+E341+E343+E361+E369+E371+E373+E375+E351+E359+E377+E379+E381+E383+E385+E387+E357+E389+E391+E393+E395+E397+E399+E401+E403+E405+E407+E409+E411+E419+E413+E415+E417+E345+E347+E349+E353+E355+E363+E365+E367+E423+E425+E427+E431+E433+E437+E439+E441+E443+E445</f>
    </oc>
    <nc r="E336">
      <f>E337+E339+E341+E343+E361+E369+E371+E373+E375+E351+E359+E377+E379+E381+E383+E385+E387+E357+E389+E391+E393+E395+E397+E399+E401+E403+E405+E407+E409+E411+E419+E413+E415+E417+E345+E347+E349+E353+E355+E363+E365+E367+E423+E425+E427+E431+E433+E437+E439+E441+E443+E445+E421+E429+E435</f>
    </nc>
  </rcc>
  <rcc rId="1461" sId="1">
    <oc r="F336">
      <f>F337+F339+F341+F343+F361+F369+F371+F373+F375+F351+F359+F377+F379+F381+F383+F385+F387+F357+F389+F391+F393+F395+F397+F399+F401+F403+F405+F407+F409+F411+F419+F413+F415+F417+F345+F347+F349+F353+F355+F363+F365+F367+F423+F425+F427+F431+F433+F437+F439+F441+F443+F445</f>
    </oc>
    <nc r="F336">
      <f>F337+F339+F341+F343+F361+F369+F371+F373+F375+F351+F359+F377+F379+F381+F383+F385+F387+F357+F389+F391+F393+F395+F397+F399+F401+F403+F405+F407+F409+F411+F419+F413+F415+F417+F345+F347+F349+F353+F355+F363+F365+F367+F423+F425+F427+F431+F433+F437+F439+F441+F443+F445+F421+F429+F435</f>
    </nc>
  </rcc>
  <rcc rId="1462" sId="1">
    <oc r="G336">
      <f>G337+G339+G341+G343+G361+G369+G371+G373+G375+G351+G359+G377+G379+G381+G383+G385+G387+G357+G389+G391+G393+G395+G397+G399+G401+G403+G405+G407+G409+G411+G419+G413+G415+G417+G345+G347+G349+G353+G355+G363+G365+G367+G423+G425+G427+G431+G433+G437+G439+G441+G443+G445</f>
    </oc>
    <nc r="G336">
      <f>G337+G339+G341+G343+G361+G369+G371+G373+G375+G351+G359+G377+G379+G381+G383+G385+G387+G357+G389+G391+G393+G395+G397+G399+G401+G403+G405+G407+G409+G411+G419+G413+G415+G417+G345+G347+G349+G353+G355+G363+G365+G367+G423+G425+G427+G431+G433+G437+G439+G441+G443+G445+G421+G429+G435</f>
    </nc>
  </rcc>
  <rcc rId="1463" sId="1" numFmtId="4">
    <oc r="E817">
      <v>5972.4</v>
    </oc>
    <nc r="E817">
      <f>5972.4-935.7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4" sId="1">
    <oc r="E93">
      <f>1603.7-219.8</f>
    </oc>
    <nc r="E93">
      <f>1603.7+219.8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 numFmtId="4">
    <oc r="E364">
      <v>24930.6</v>
    </oc>
    <nc r="E364">
      <f>24930.6+1626.1</f>
    </nc>
  </rcc>
  <rcc rId="1466" sId="1" numFmtId="4">
    <oc r="E366">
      <v>21160.799999999999</v>
    </oc>
    <nc r="E366">
      <f>21160.8+1380.2</f>
    </nc>
  </rcc>
  <rcc rId="1467" sId="1" numFmtId="4">
    <oc r="E368">
      <v>24858.5</v>
    </oc>
    <nc r="E368">
      <f>24858.5+1621.3</f>
    </nc>
  </rcc>
  <rcc rId="1468" sId="1" numFmtId="4">
    <oc r="E79">
      <v>12027.800000000005</v>
    </oc>
    <nc r="E79">
      <f>12027.8-4627.6-1595.7</f>
    </nc>
  </rcc>
  <rcc rId="1469" sId="1">
    <oc r="E507">
      <f>128832.5+2008.8+15000+1595.7+25000</f>
    </oc>
    <nc r="E507">
      <f>128832.5+2008.8+15000+1595.7+25000+822</f>
    </nc>
  </rcc>
  <rcc rId="1470" sId="1">
    <oc r="E33">
      <f>49803.4+106.6+15313</f>
    </oc>
    <nc r="E33">
      <f>49803.4+106.6+15313+866</f>
    </nc>
  </rcc>
  <rcc rId="1471" sId="1">
    <oc r="E34">
      <f>1000+1092.9+559.3</f>
    </oc>
    <nc r="E34">
      <f>1000+1092.9+559.3+797.1</f>
    </nc>
  </rcc>
  <rcc rId="1472" sId="1" numFmtId="4">
    <oc r="E74">
      <v>175612.9</v>
    </oc>
    <nc r="E74">
      <f>175612.9+1779.4</f>
    </nc>
  </rcc>
  <rcc rId="1473" sId="1" numFmtId="4">
    <oc r="E75">
      <v>97972.2</v>
    </oc>
    <nc r="E75">
      <f>97972.2-31070.9</f>
    </nc>
  </rcc>
  <rcc rId="1474" sId="1">
    <oc r="E84">
      <f>18579.5+37.9+100</f>
    </oc>
    <nc r="E84">
      <f>18579.5+37.9+100+3594.9</f>
    </nc>
  </rcc>
  <rcc rId="1475" sId="1" numFmtId="4">
    <oc r="E86">
      <v>45</v>
    </oc>
    <nc r="E86">
      <f>45+90</f>
    </nc>
  </rcc>
  <rcc rId="1476" sId="1" numFmtId="4">
    <oc r="E239">
      <v>48966.199999999983</v>
    </oc>
    <nc r="E239">
      <f>48966.2+2.1</f>
    </nc>
  </rcc>
  <rcc rId="1477" sId="1" numFmtId="4">
    <oc r="E288">
      <v>23912.6</v>
    </oc>
    <nc r="E288">
      <f>23912.6-16175.4</f>
    </nc>
  </rcc>
  <rcc rId="1478" sId="1" numFmtId="4">
    <oc r="E309">
      <v>10493.6</v>
    </oc>
    <nc r="E309">
      <f>10493.6-590.6</f>
    </nc>
  </rcc>
  <rcc rId="1479" sId="1" numFmtId="4">
    <oc r="E313">
      <v>3818.3</v>
    </oc>
    <nc r="E313">
      <f>3818.3+590.6</f>
    </nc>
  </rcc>
  <rcc rId="1480" sId="1" numFmtId="4">
    <oc r="E315">
      <v>1107.8</v>
    </oc>
    <nc r="E315">
      <f>1107.8-1107.8</f>
    </nc>
  </rcc>
  <rfmt sheetId="1" sqref="A314">
    <dxf>
      <fill>
        <patternFill patternType="solid">
          <bgColor theme="5" tint="0.59999389629810485"/>
        </patternFill>
      </fill>
    </dxf>
  </rfmt>
  <rcc rId="1481" sId="1">
    <oc r="E340">
      <v>8067.5</v>
    </oc>
    <nc r="E340">
      <f>8067.5-0.2</f>
    </nc>
  </rcc>
  <rrc rId="1482" sId="1" ref="A340:XFD340" action="insertRow">
    <undo index="65535" exp="area" ref3D="1" dr="$A$907:$XFD$909" dn="Z_1CA6CCC9_64EF_4CA9_9C9C_1E572976D134_.wvu.Rows" sId="1"/>
    <undo index="65535" exp="area" ref3D="1" dr="$A$902:$XFD$904" dn="Z_1CA6CCC9_64EF_4CA9_9C9C_1E572976D134_.wvu.Rows" sId="1"/>
    <undo index="65535" exp="area" ref3D="1" dr="$A$879:$XFD$899" dn="Z_1CA6CCC9_64EF_4CA9_9C9C_1E572976D134_.wvu.Rows" sId="1"/>
    <undo index="65535" exp="area" ref3D="1" dr="$A$859:$XFD$877" dn="Z_1CA6CCC9_64EF_4CA9_9C9C_1E572976D134_.wvu.Rows" sId="1"/>
    <undo index="65535" exp="area" ref3D="1" dr="$A$853:$XFD$857" dn="Z_1CA6CCC9_64EF_4CA9_9C9C_1E572976D134_.wvu.Rows" sId="1"/>
    <undo index="65535" exp="area" ref3D="1" dr="$A$821:$XFD$850" dn="Z_1CA6CCC9_64EF_4CA9_9C9C_1E572976D134_.wvu.Rows" sId="1"/>
    <undo index="65535" exp="area" ref3D="1" dr="$A$806:$XFD$819" dn="Z_1CA6CCC9_64EF_4CA9_9C9C_1E572976D134_.wvu.Rows" sId="1"/>
    <undo index="65535" exp="area" ref3D="1" dr="$A$802:$XFD$804" dn="Z_1CA6CCC9_64EF_4CA9_9C9C_1E572976D134_.wvu.Rows" sId="1"/>
    <undo index="65535" exp="area" ref3D="1" dr="$A$778:$XFD$799" dn="Z_1CA6CCC9_64EF_4CA9_9C9C_1E572976D134_.wvu.Rows" sId="1"/>
    <undo index="65535" exp="area" ref3D="1" dr="$A$757:$XFD$776" dn="Z_1CA6CCC9_64EF_4CA9_9C9C_1E572976D134_.wvu.Rows" sId="1"/>
    <undo index="65535" exp="area" ref3D="1" dr="$A$705:$XFD$754" dn="Z_1CA6CCC9_64EF_4CA9_9C9C_1E572976D134_.wvu.Rows" sId="1"/>
    <undo index="65535" exp="area" ref3D="1" dr="$A$687:$XFD$703" dn="Z_1CA6CCC9_64EF_4CA9_9C9C_1E572976D134_.wvu.Rows" sId="1"/>
    <undo index="65535" exp="area" ref3D="1" dr="$A$664:$XFD$685" dn="Z_1CA6CCC9_64EF_4CA9_9C9C_1E572976D134_.wvu.Rows" sId="1"/>
    <undo index="65535" exp="area" ref3D="1" dr="$A$599:$XFD$662" dn="Z_1CA6CCC9_64EF_4CA9_9C9C_1E572976D134_.wvu.Rows" sId="1"/>
    <undo index="65535" exp="area" ref3D="1" dr="$A$577:$XFD$597" dn="Z_1CA6CCC9_64EF_4CA9_9C9C_1E572976D134_.wvu.Rows" sId="1"/>
    <undo index="65535" exp="area" ref3D="1" dr="$A$570:$XFD$574" dn="Z_1CA6CCC9_64EF_4CA9_9C9C_1E572976D134_.wvu.Rows" sId="1"/>
    <undo index="65535" exp="area" ref3D="1" dr="$A$548:$XFD$567" dn="Z_1CA6CCC9_64EF_4CA9_9C9C_1E572976D134_.wvu.Rows" sId="1"/>
    <undo index="65535" exp="area" ref3D="1" dr="$A$467:$XFD$546" dn="Z_1CA6CCC9_64EF_4CA9_9C9C_1E572976D134_.wvu.Rows" sId="1"/>
    <undo index="65535" exp="area" ref3D="1" dr="$A$330:$XFD$465" dn="Z_1CA6CCC9_64EF_4CA9_9C9C_1E572976D134_.wvu.Rows" sId="1"/>
  </rrc>
  <rcc rId="1483" sId="1" odxf="1" s="1" dxf="1">
    <nc r="A340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84" sId="1" odxf="1" s="1" dxf="1">
    <nc r="B340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85" sId="1" odxf="1" s="1" dxf="1">
    <nc r="C340" t="inlineStr">
      <is>
        <t>03 2 01 10712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86" sId="1" odxf="1" s="1" dxf="1">
    <nc r="D340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487" sId="1" numFmtId="4">
    <nc r="E340">
      <v>0.2</v>
    </nc>
  </rcc>
  <rcc rId="1488" sId="1">
    <oc r="E339">
      <f>E341</f>
    </oc>
    <nc r="E339">
      <f>E341+E340</f>
    </nc>
  </rcc>
  <rcc rId="1489" sId="1">
    <oc r="F339">
      <f>F341</f>
    </oc>
    <nc r="F339">
      <f>F341+F340</f>
    </nc>
  </rcc>
  <rcc rId="1490" sId="1">
    <oc r="G339">
      <f>G341</f>
    </oc>
    <nc r="G339">
      <f>G341+G340</f>
    </nc>
  </rcc>
  <rcc rId="1491" sId="1" numFmtId="4">
    <oc r="E347">
      <v>550</v>
    </oc>
    <nc r="E347">
      <f>550-442.1</f>
    </nc>
  </rcc>
  <rcc rId="1492" sId="1" numFmtId="4">
    <oc r="E349">
      <v>11.1</v>
    </oc>
    <nc r="E349">
      <f>11.1+0.5</f>
    </nc>
  </rcc>
  <rcc rId="1493" sId="1" numFmtId="4">
    <oc r="E351">
      <v>775.3</v>
    </oc>
    <nc r="E351">
      <f>775.3+338.8</f>
    </nc>
  </rcc>
  <rcc rId="1494" sId="1" numFmtId="4">
    <oc r="E359">
      <v>11772.9</v>
    </oc>
    <nc r="E359">
      <f>11772.9+8.4</f>
    </nc>
  </rcc>
  <rcc rId="1495" sId="1" numFmtId="4">
    <oc r="E361">
      <v>16314.000000000002</v>
    </oc>
    <nc r="E361">
      <f>16314-0.5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6" sId="1" numFmtId="4">
    <oc r="E488">
      <v>2270.1</v>
    </oc>
    <nc r="E488">
      <f>2270.1+97.9</f>
    </nc>
  </rcc>
  <rcc rId="1497" sId="1">
    <oc r="E490">
      <f>20367.2+3960.3</f>
    </oc>
    <nc r="E490">
      <f>20367.2+3960.3+28009.6</f>
    </nc>
  </rcc>
  <rcc rId="1498" sId="1" numFmtId="4">
    <oc r="E492">
      <v>476.7</v>
    </oc>
    <nc r="E492">
      <f>476.7-476.7</f>
    </nc>
  </rcc>
  <rfmt sheetId="1" sqref="A491">
    <dxf>
      <fill>
        <patternFill patternType="solid">
          <bgColor theme="5" tint="0.59999389629810485"/>
        </patternFill>
      </fill>
    </dxf>
  </rfmt>
  <rcc rId="1499" sId="1" numFmtId="4">
    <oc r="E494">
      <v>6815.5</v>
    </oc>
    <nc r="E494">
      <f>6815.5-824.6</f>
    </nc>
  </rcc>
  <rcc rId="1500" sId="1" numFmtId="4">
    <oc r="E567">
      <v>5707.2000000000007</v>
    </oc>
    <nc r="E567">
      <f>5707.2+126.6</f>
    </nc>
  </rcc>
  <rcc rId="1501" sId="1">
    <oc r="E568">
      <f>68701.3+80+50000</f>
    </oc>
    <nc r="E568">
      <f>68701.3+80+50000+169.2</f>
    </nc>
  </rcc>
  <rcc rId="1502" sId="1">
    <oc r="E858">
      <f>50729.9+80.1</f>
    </oc>
    <nc r="E858">
      <f>50729.9+80.1+58.4</f>
    </nc>
  </rcc>
  <rcc rId="1503" sId="1" numFmtId="4">
    <oc r="E867">
      <v>981</v>
    </oc>
    <nc r="E867">
      <f>981-499.5</f>
    </nc>
  </rcc>
  <rrc rId="1504" sId="1" ref="A871:XFD871" action="insertRow">
    <undo index="65535" exp="area" ref3D="1" dr="$A$908:$XFD$910" dn="Z_1CA6CCC9_64EF_4CA9_9C9C_1E572976D134_.wvu.Rows" sId="1"/>
    <undo index="65535" exp="area" ref3D="1" dr="$A$903:$XFD$905" dn="Z_1CA6CCC9_64EF_4CA9_9C9C_1E572976D134_.wvu.Rows" sId="1"/>
    <undo index="65535" exp="area" ref3D="1" dr="$A$880:$XFD$900" dn="Z_1CA6CCC9_64EF_4CA9_9C9C_1E572976D134_.wvu.Rows" sId="1"/>
    <undo index="65535" exp="area" ref3D="1" dr="$A$860:$XFD$878" dn="Z_1CA6CCC9_64EF_4CA9_9C9C_1E572976D134_.wvu.Rows" sId="1"/>
  </rrc>
  <rrc rId="1505" sId="1" ref="A871:XFD871" action="insertRow">
    <undo index="65535" exp="area" ref3D="1" dr="$A$909:$XFD$911" dn="Z_1CA6CCC9_64EF_4CA9_9C9C_1E572976D134_.wvu.Rows" sId="1"/>
    <undo index="65535" exp="area" ref3D="1" dr="$A$904:$XFD$906" dn="Z_1CA6CCC9_64EF_4CA9_9C9C_1E572976D134_.wvu.Rows" sId="1"/>
    <undo index="65535" exp="area" ref3D="1" dr="$A$881:$XFD$901" dn="Z_1CA6CCC9_64EF_4CA9_9C9C_1E572976D134_.wvu.Rows" sId="1"/>
    <undo index="65535" exp="area" ref3D="1" dr="$A$860:$XFD$879" dn="Z_1CA6CCC9_64EF_4CA9_9C9C_1E572976D134_.wvu.Rows" sId="1"/>
  </rrc>
  <rrc rId="1506" sId="1" ref="A871:XFD871" action="insertRow">
    <undo index="65535" exp="area" ref3D="1" dr="$A$910:$XFD$912" dn="Z_1CA6CCC9_64EF_4CA9_9C9C_1E572976D134_.wvu.Rows" sId="1"/>
    <undo index="65535" exp="area" ref3D="1" dr="$A$905:$XFD$907" dn="Z_1CA6CCC9_64EF_4CA9_9C9C_1E572976D134_.wvu.Rows" sId="1"/>
    <undo index="65535" exp="area" ref3D="1" dr="$A$882:$XFD$902" dn="Z_1CA6CCC9_64EF_4CA9_9C9C_1E572976D134_.wvu.Rows" sId="1"/>
    <undo index="65535" exp="area" ref3D="1" dr="$A$860:$XFD$880" dn="Z_1CA6CCC9_64EF_4CA9_9C9C_1E572976D134_.wvu.Rows" sId="1"/>
  </rrc>
  <rcc rId="1507" sId="1" odxf="1" dxf="1">
    <nc r="A871" t="inlineStr">
      <is>
        <t>Создание и оснащение плоскостных сооружений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08" sId="1" odxf="1" dxf="1">
    <nc r="A87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09" sId="1" odxf="1" dxf="1">
    <nc r="A873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0" sId="1" odxf="1" dxf="1">
    <nc r="B871" t="inlineStr">
      <is>
        <t>1102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1" sId="1" odxf="1" dxf="1">
    <nc r="C871" t="inlineStr">
      <is>
        <t>06 2 05 10170</t>
      </is>
    </nc>
    <odxf>
      <font>
        <sz val="12"/>
        <name val="Times New Roman"/>
        <family val="1"/>
      </font>
      <numFmt numFmtId="164" formatCode="#,##0.0"/>
      <alignment wrapText="0"/>
    </odxf>
    <ndxf>
      <font>
        <sz val="12"/>
        <name val="Times New Roman"/>
        <family val="1"/>
      </font>
      <numFmt numFmtId="1" formatCode="0"/>
      <alignment wrapText="1"/>
    </ndxf>
  </rcc>
  <rfmt sheetId="1" sqref="D871" start="0" length="0">
    <dxf>
      <font>
        <sz val="12"/>
        <name val="Times New Roman"/>
        <family val="1"/>
      </font>
      <numFmt numFmtId="1" formatCode="0"/>
      <alignment wrapText="1"/>
    </dxf>
  </rfmt>
  <rcc rId="1512" sId="1" odxf="1" dxf="1">
    <nc r="B872" t="inlineStr">
      <is>
        <t>1102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3" sId="1" odxf="1" dxf="1">
    <nc r="C872" t="inlineStr">
      <is>
        <t>06 2 05 10170</t>
      </is>
    </nc>
    <odxf>
      <font>
        <sz val="12"/>
        <name val="Times New Roman"/>
        <family val="1"/>
      </font>
      <numFmt numFmtId="164" formatCode="#,##0.0"/>
      <alignment wrapText="0"/>
    </odxf>
    <ndxf>
      <font>
        <sz val="12"/>
        <name val="Times New Roman"/>
        <family val="1"/>
      </font>
      <numFmt numFmtId="1" formatCode="0"/>
      <alignment wrapText="1"/>
    </ndxf>
  </rcc>
  <rcc rId="1514" sId="1" odxf="1" dxf="1" numFmtId="4">
    <nc r="D872">
      <v>200</v>
    </nc>
    <odxf>
      <font>
        <sz val="12"/>
        <name val="Times New Roman"/>
        <family val="1"/>
      </font>
      <numFmt numFmtId="0" formatCode="General"/>
      <alignment wrapText="0"/>
    </odxf>
    <ndxf>
      <font>
        <sz val="12"/>
        <name val="Times New Roman"/>
        <family val="1"/>
      </font>
      <numFmt numFmtId="1" formatCode="0"/>
      <alignment wrapText="1"/>
    </ndxf>
  </rcc>
  <rcc rId="1515" sId="1" odxf="1" dxf="1">
    <nc r="B873" t="inlineStr">
      <is>
        <t>1102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6" sId="1" odxf="1" s="1" dxf="1">
    <nc r="C873" t="inlineStr">
      <is>
        <t>06 2 05 10170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vertical="bottom" wrapText="1"/>
    </ndxf>
  </rcc>
  <rcc rId="1517" sId="1" odxf="1" dxf="1">
    <nc r="D873" t="inlineStr">
      <is>
        <t>600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518" sId="1" numFmtId="4">
    <nc r="E872">
      <v>7800.6</v>
    </nc>
  </rcc>
  <rcc rId="1519" sId="1" numFmtId="4">
    <nc r="E873">
      <v>4346.6000000000004</v>
    </nc>
  </rcc>
  <rcc rId="1520" sId="1">
    <nc r="E871">
      <f>+E872+E873</f>
    </nc>
  </rcc>
  <rcc rId="1521" sId="1">
    <nc r="F871">
      <f>+F872+F873</f>
    </nc>
  </rcc>
  <rcc rId="1522" sId="1">
    <nc r="G871">
      <f>+G872+G873</f>
    </nc>
  </rcc>
  <rcc rId="1523" sId="1">
    <oc r="E868">
      <f>+E869</f>
    </oc>
    <nc r="E868">
      <f>+E869+E871+E874</f>
    </nc>
  </rcc>
  <rcc rId="1524" sId="1">
    <oc r="F868">
      <f>+F869</f>
    </oc>
    <nc r="F868">
      <f>+F869+F871+F874</f>
    </nc>
  </rcc>
  <rcc rId="1525" sId="1">
    <oc r="G868">
      <f>+G869+G874</f>
    </oc>
    <nc r="G868">
      <f>+G869+G871+G874</f>
    </nc>
  </rcc>
  <rcc rId="1526" sId="1">
    <oc r="E879">
      <f>9895.1+1633.4</f>
    </oc>
    <nc r="E879">
      <f>9895.1+1633.4+441.1</f>
    </nc>
  </rcc>
  <rcc rId="1527" sId="1" numFmtId="4">
    <oc r="E83">
      <v>64391.4</v>
    </oc>
    <nc r="E83">
      <f>64391.4-60</f>
    </nc>
  </rcc>
  <rcc rId="1528" sId="1">
    <oc r="E87">
      <f>115+100</f>
    </oc>
    <nc r="E87">
      <f>115+100+60</f>
    </nc>
  </rcc>
  <rcc rId="1529" sId="1" numFmtId="4">
    <oc r="E229">
      <v>2320</v>
    </oc>
    <nc r="E229">
      <f>2320+250</f>
    </nc>
  </rcc>
  <rcc rId="1530" sId="1" numFmtId="4">
    <oc r="E325">
      <v>4359.3</v>
    </oc>
    <nc r="E325">
      <f>4359.3-1247.2</f>
    </nc>
  </rcc>
  <rrc rId="1531" sId="1" ref="A346:XFD346" action="insertRow">
    <undo index="65535" exp="area" ref3D="1" dr="$A$911:$XFD$913" dn="Z_1CA6CCC9_64EF_4CA9_9C9C_1E572976D134_.wvu.Rows" sId="1"/>
    <undo index="65535" exp="area" ref3D="1" dr="$A$906:$XFD$908" dn="Z_1CA6CCC9_64EF_4CA9_9C9C_1E572976D134_.wvu.Rows" sId="1"/>
    <undo index="65535" exp="area" ref3D="1" dr="$A$883:$XFD$903" dn="Z_1CA6CCC9_64EF_4CA9_9C9C_1E572976D134_.wvu.Rows" sId="1"/>
    <undo index="65535" exp="area" ref3D="1" dr="$A$860:$XFD$881" dn="Z_1CA6CCC9_64EF_4CA9_9C9C_1E572976D134_.wvu.Rows" sId="1"/>
    <undo index="65535" exp="area" ref3D="1" dr="$A$854:$XFD$858" dn="Z_1CA6CCC9_64EF_4CA9_9C9C_1E572976D134_.wvu.Rows" sId="1"/>
    <undo index="65535" exp="area" ref3D="1" dr="$A$822:$XFD$851" dn="Z_1CA6CCC9_64EF_4CA9_9C9C_1E572976D134_.wvu.Rows" sId="1"/>
    <undo index="65535" exp="area" ref3D="1" dr="$A$807:$XFD$820" dn="Z_1CA6CCC9_64EF_4CA9_9C9C_1E572976D134_.wvu.Rows" sId="1"/>
    <undo index="65535" exp="area" ref3D="1" dr="$A$803:$XFD$805" dn="Z_1CA6CCC9_64EF_4CA9_9C9C_1E572976D134_.wvu.Rows" sId="1"/>
    <undo index="65535" exp="area" ref3D="1" dr="$A$779:$XFD$800" dn="Z_1CA6CCC9_64EF_4CA9_9C9C_1E572976D134_.wvu.Rows" sId="1"/>
    <undo index="65535" exp="area" ref3D="1" dr="$A$758:$XFD$777" dn="Z_1CA6CCC9_64EF_4CA9_9C9C_1E572976D134_.wvu.Rows" sId="1"/>
    <undo index="65535" exp="area" ref3D="1" dr="$A$706:$XFD$755" dn="Z_1CA6CCC9_64EF_4CA9_9C9C_1E572976D134_.wvu.Rows" sId="1"/>
    <undo index="65535" exp="area" ref3D="1" dr="$A$688:$XFD$704" dn="Z_1CA6CCC9_64EF_4CA9_9C9C_1E572976D134_.wvu.Rows" sId="1"/>
    <undo index="65535" exp="area" ref3D="1" dr="$A$665:$XFD$686" dn="Z_1CA6CCC9_64EF_4CA9_9C9C_1E572976D134_.wvu.Rows" sId="1"/>
    <undo index="65535" exp="area" ref3D="1" dr="$A$600:$XFD$663" dn="Z_1CA6CCC9_64EF_4CA9_9C9C_1E572976D134_.wvu.Rows" sId="1"/>
    <undo index="65535" exp="area" ref3D="1" dr="$A$578:$XFD$598" dn="Z_1CA6CCC9_64EF_4CA9_9C9C_1E572976D134_.wvu.Rows" sId="1"/>
    <undo index="65535" exp="area" ref3D="1" dr="$A$571:$XFD$575" dn="Z_1CA6CCC9_64EF_4CA9_9C9C_1E572976D134_.wvu.Rows" sId="1"/>
    <undo index="65535" exp="area" ref3D="1" dr="$A$549:$XFD$568" dn="Z_1CA6CCC9_64EF_4CA9_9C9C_1E572976D134_.wvu.Rows" sId="1"/>
    <undo index="65535" exp="area" ref3D="1" dr="$A$468:$XFD$547" dn="Z_1CA6CCC9_64EF_4CA9_9C9C_1E572976D134_.wvu.Rows" sId="1"/>
    <undo index="65535" exp="area" ref3D="1" dr="$A$330:$XFD$466" dn="Z_1CA6CCC9_64EF_4CA9_9C9C_1E572976D134_.wvu.Rows" sId="1"/>
  </rrc>
  <rrc rId="1532" sId="1" ref="A346:XFD346" action="insertRow">
    <undo index="65535" exp="area" ref3D="1" dr="$A$912:$XFD$914" dn="Z_1CA6CCC9_64EF_4CA9_9C9C_1E572976D134_.wvu.Rows" sId="1"/>
    <undo index="65535" exp="area" ref3D="1" dr="$A$907:$XFD$909" dn="Z_1CA6CCC9_64EF_4CA9_9C9C_1E572976D134_.wvu.Rows" sId="1"/>
    <undo index="65535" exp="area" ref3D="1" dr="$A$884:$XFD$904" dn="Z_1CA6CCC9_64EF_4CA9_9C9C_1E572976D134_.wvu.Rows" sId="1"/>
    <undo index="65535" exp="area" ref3D="1" dr="$A$861:$XFD$882" dn="Z_1CA6CCC9_64EF_4CA9_9C9C_1E572976D134_.wvu.Rows" sId="1"/>
    <undo index="65535" exp="area" ref3D="1" dr="$A$855:$XFD$859" dn="Z_1CA6CCC9_64EF_4CA9_9C9C_1E572976D134_.wvu.Rows" sId="1"/>
    <undo index="65535" exp="area" ref3D="1" dr="$A$823:$XFD$852" dn="Z_1CA6CCC9_64EF_4CA9_9C9C_1E572976D134_.wvu.Rows" sId="1"/>
    <undo index="65535" exp="area" ref3D="1" dr="$A$808:$XFD$821" dn="Z_1CA6CCC9_64EF_4CA9_9C9C_1E572976D134_.wvu.Rows" sId="1"/>
    <undo index="65535" exp="area" ref3D="1" dr="$A$804:$XFD$806" dn="Z_1CA6CCC9_64EF_4CA9_9C9C_1E572976D134_.wvu.Rows" sId="1"/>
    <undo index="65535" exp="area" ref3D="1" dr="$A$780:$XFD$801" dn="Z_1CA6CCC9_64EF_4CA9_9C9C_1E572976D134_.wvu.Rows" sId="1"/>
    <undo index="65535" exp="area" ref3D="1" dr="$A$759:$XFD$778" dn="Z_1CA6CCC9_64EF_4CA9_9C9C_1E572976D134_.wvu.Rows" sId="1"/>
    <undo index="65535" exp="area" ref3D="1" dr="$A$707:$XFD$756" dn="Z_1CA6CCC9_64EF_4CA9_9C9C_1E572976D134_.wvu.Rows" sId="1"/>
    <undo index="65535" exp="area" ref3D="1" dr="$A$689:$XFD$705" dn="Z_1CA6CCC9_64EF_4CA9_9C9C_1E572976D134_.wvu.Rows" sId="1"/>
    <undo index="65535" exp="area" ref3D="1" dr="$A$666:$XFD$687" dn="Z_1CA6CCC9_64EF_4CA9_9C9C_1E572976D134_.wvu.Rows" sId="1"/>
    <undo index="65535" exp="area" ref3D="1" dr="$A$601:$XFD$664" dn="Z_1CA6CCC9_64EF_4CA9_9C9C_1E572976D134_.wvu.Rows" sId="1"/>
    <undo index="65535" exp="area" ref3D="1" dr="$A$579:$XFD$599" dn="Z_1CA6CCC9_64EF_4CA9_9C9C_1E572976D134_.wvu.Rows" sId="1"/>
    <undo index="65535" exp="area" ref3D="1" dr="$A$572:$XFD$576" dn="Z_1CA6CCC9_64EF_4CA9_9C9C_1E572976D134_.wvu.Rows" sId="1"/>
    <undo index="65535" exp="area" ref3D="1" dr="$A$550:$XFD$569" dn="Z_1CA6CCC9_64EF_4CA9_9C9C_1E572976D134_.wvu.Rows" sId="1"/>
    <undo index="65535" exp="area" ref3D="1" dr="$A$469:$XFD$548" dn="Z_1CA6CCC9_64EF_4CA9_9C9C_1E572976D134_.wvu.Rows" sId="1"/>
    <undo index="65535" exp="area" ref3D="1" dr="$A$330:$XFD$467" dn="Z_1CA6CCC9_64EF_4CA9_9C9C_1E572976D134_.wvu.Rows" sId="1"/>
  </rrc>
  <rcc rId="1533" sId="1" odxf="1" dxf="1">
    <nc r="A346" t="inlineStr">
      <is>
        <t>Разработка плана действий по ликвидации последствий аварийных ситуаций в сфере теплоснабжения</t>
      </is>
    </nc>
    <odxf>
      <font>
        <color auto="1"/>
        <family val="1"/>
      </font>
      <numFmt numFmtId="0" formatCode="General"/>
    </odxf>
    <ndxf>
      <font>
        <color auto="1"/>
        <family val="1"/>
      </font>
      <numFmt numFmtId="1" formatCode="0"/>
    </ndxf>
  </rcc>
  <rcc rId="1534" sId="1" odxf="1" dxf="1">
    <nc r="A347" t="inlineStr">
      <is>
        <t>Закупка товаров, работ и услуг для обеспечения государственных (муниципальных) нужд</t>
      </is>
    </nc>
    <odxf>
      <font>
        <color auto="1"/>
        <family val="1"/>
      </font>
      <numFmt numFmtId="0" formatCode="General"/>
    </odxf>
    <ndxf>
      <font>
        <color auto="1"/>
        <family val="1"/>
      </font>
      <numFmt numFmtId="1" formatCode="0"/>
    </ndxf>
  </rcc>
  <rcc rId="1535" sId="1" odxf="1" s="1" dxf="1">
    <nc r="B346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36" sId="1" odxf="1" s="1" dxf="1">
    <nc r="C346" t="inlineStr">
      <is>
        <t>03 2 01 10715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4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537" sId="1" odxf="1" s="1" dxf="1">
    <nc r="B347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38" sId="1" odxf="1" s="1" dxf="1">
    <nc r="C347" t="inlineStr">
      <is>
        <t>03 2 01 10715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39" sId="1" odxf="1" s="1" dxf="1">
    <nc r="D347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540" sId="1" numFmtId="4">
    <nc r="E347">
      <v>360</v>
    </nc>
  </rcc>
  <rcc rId="1541" sId="1">
    <nc r="E346">
      <f>+E347</f>
    </nc>
  </rcc>
  <rcc rId="1542" sId="1">
    <nc r="F346">
      <f>+F347</f>
    </nc>
  </rcc>
  <rcc rId="1543" sId="1">
    <nc r="G346">
      <f>+G347</f>
    </nc>
  </rcc>
  <rcc rId="1544" sId="1">
    <oc r="E336">
      <f>E337+E339+E342+E344+E364+E372+E374+E376+E378+E354+E362+E380+E382+E384+E386+E388+E390+E360+E392+E394+E396+E398+E400+E402+E404+E406+E408+E410+E412+E414+E422+E416+E418+E420+E348+E350+E352+E356+E358+E366+E368+E370+E426+E428+E430+E434+E436+E440+E442+E444+E446+E448+E424+E432+E438</f>
    </oc>
    <nc r="E336">
      <f>E337+E339+E342+E344+E364+E372+E374+E376+E378+E354+E362+E380+E382+E384+E386+E388+E390+E360+E392+E394+E396+E398+E400+E402+E404+E406+E408+E410+E412+E414+E422+E416+E418+E420+E348+E350+E352+E356+E358+E366+E368+E370+E426+E428+E430+E434+E436+E440+E442+E444+E446+E448+E424+E432+E438+E346</f>
    </nc>
  </rcc>
  <rcc rId="1545" sId="1">
    <oc r="F336">
      <f>F337+F339+F342+F344+F364+F372+F374+F376+F378+F354+F362+F380+F382+F384+F386+F388+F390+F360+F392+F394+F396+F398+F400+F402+F404+F406+F408+F410+F412+F414+F422+F416+F418+F420+F348+F350+F352+F356+F358+F366+F368+F370+F426+F428+F430+F434+F436+F440+F442+F444+F446+F448+F424+F432+F438</f>
    </oc>
    <nc r="F336">
      <f>F337+F339+F342+F344+F364+F372+F374+F376+F378+F354+F362+F380+F382+F384+F386+F388+F390+F360+F392+F394+F396+F398+F400+F402+F404+F406+F408+F410+F412+F414+F422+F416+F418+F420+F348+F350+F352+F356+F358+F366+F368+F370+F426+F428+F430+F434+F436+F440+F442+F444+F446+F448+F424+F432+F438+F346</f>
    </nc>
  </rcc>
  <rcc rId="1546" sId="1">
    <oc r="G336">
      <f>G337+G339+G342+G344+G364+G372+G374+G376+G378+G354+G362+G380+G382+G384+G386+G388+G390+G360+G392+G394+G396+G398+G400+G402+G404+G406+G408+G410+G412+G414+G422+G416+G418+G420+G348+G350+G352+G356+G358+G366+G368+G370+G426+G428+G430+G434+G436+G440+G442+G444+G446+G448+G424+G432+G438</f>
    </oc>
    <nc r="G336">
      <f>G337+G339+G342+G344+G364+G372+G374+G376+G378+G354+G362+G380+G382+G384+G386+G388+G390+G360+G392+G394+G396+G398+G400+G402+G404+G406+G408+G410+G412+G414+G422+G416+G418+G420+G348+G350+G352+G356+G358+G366+G368+G370+G426+G428+G430+G434+G436+G440+G442+G444+G446+G448+G424+G432+G438+G346</f>
    </nc>
  </rcc>
  <rcc rId="1547" sId="1" numFmtId="4">
    <oc r="E452">
      <v>8096.1</v>
    </oc>
    <nc r="E452">
      <f>8096.1+9238.6</f>
    </nc>
  </rcc>
  <rcc rId="1548" sId="1">
    <oc r="E456">
      <f>4371.1+542.1</f>
    </oc>
    <nc r="E456">
      <f>4371.1+542.1+2059.8</f>
    </nc>
  </rcc>
  <rrc rId="1549" sId="1" ref="A505:XFD505" action="insertRow">
    <undo index="65535" exp="area" ref3D="1" dr="$A$913:$XFD$915" dn="Z_1CA6CCC9_64EF_4CA9_9C9C_1E572976D134_.wvu.Rows" sId="1"/>
    <undo index="65535" exp="area" ref3D="1" dr="$A$908:$XFD$910" dn="Z_1CA6CCC9_64EF_4CA9_9C9C_1E572976D134_.wvu.Rows" sId="1"/>
    <undo index="65535" exp="area" ref3D="1" dr="$A$885:$XFD$905" dn="Z_1CA6CCC9_64EF_4CA9_9C9C_1E572976D134_.wvu.Rows" sId="1"/>
    <undo index="65535" exp="area" ref3D="1" dr="$A$862:$XFD$883" dn="Z_1CA6CCC9_64EF_4CA9_9C9C_1E572976D134_.wvu.Rows" sId="1"/>
    <undo index="65535" exp="area" ref3D="1" dr="$A$856:$XFD$860" dn="Z_1CA6CCC9_64EF_4CA9_9C9C_1E572976D134_.wvu.Rows" sId="1"/>
    <undo index="65535" exp="area" ref3D="1" dr="$A$824:$XFD$853" dn="Z_1CA6CCC9_64EF_4CA9_9C9C_1E572976D134_.wvu.Rows" sId="1"/>
    <undo index="65535" exp="area" ref3D="1" dr="$A$809:$XFD$822" dn="Z_1CA6CCC9_64EF_4CA9_9C9C_1E572976D134_.wvu.Rows" sId="1"/>
    <undo index="65535" exp="area" ref3D="1" dr="$A$805:$XFD$807" dn="Z_1CA6CCC9_64EF_4CA9_9C9C_1E572976D134_.wvu.Rows" sId="1"/>
    <undo index="65535" exp="area" ref3D="1" dr="$A$781:$XFD$802" dn="Z_1CA6CCC9_64EF_4CA9_9C9C_1E572976D134_.wvu.Rows" sId="1"/>
    <undo index="65535" exp="area" ref3D="1" dr="$A$760:$XFD$779" dn="Z_1CA6CCC9_64EF_4CA9_9C9C_1E572976D134_.wvu.Rows" sId="1"/>
    <undo index="65535" exp="area" ref3D="1" dr="$A$708:$XFD$757" dn="Z_1CA6CCC9_64EF_4CA9_9C9C_1E572976D134_.wvu.Rows" sId="1"/>
    <undo index="65535" exp="area" ref3D="1" dr="$A$690:$XFD$706" dn="Z_1CA6CCC9_64EF_4CA9_9C9C_1E572976D134_.wvu.Rows" sId="1"/>
    <undo index="65535" exp="area" ref3D="1" dr="$A$667:$XFD$688" dn="Z_1CA6CCC9_64EF_4CA9_9C9C_1E572976D134_.wvu.Rows" sId="1"/>
    <undo index="65535" exp="area" ref3D="1" dr="$A$602:$XFD$665" dn="Z_1CA6CCC9_64EF_4CA9_9C9C_1E572976D134_.wvu.Rows" sId="1"/>
    <undo index="65535" exp="area" ref3D="1" dr="$A$580:$XFD$600" dn="Z_1CA6CCC9_64EF_4CA9_9C9C_1E572976D134_.wvu.Rows" sId="1"/>
    <undo index="65535" exp="area" ref3D="1" dr="$A$573:$XFD$577" dn="Z_1CA6CCC9_64EF_4CA9_9C9C_1E572976D134_.wvu.Rows" sId="1"/>
    <undo index="65535" exp="area" ref3D="1" dr="$A$551:$XFD$570" dn="Z_1CA6CCC9_64EF_4CA9_9C9C_1E572976D134_.wvu.Rows" sId="1"/>
    <undo index="65535" exp="area" ref3D="1" dr="$A$470:$XFD$549" dn="Z_1CA6CCC9_64EF_4CA9_9C9C_1E572976D134_.wvu.Rows" sId="1"/>
  </rrc>
  <rrc rId="1550" sId="1" ref="A505:XFD505" action="insertRow">
    <undo index="65535" exp="area" ref3D="1" dr="$A$914:$XFD$916" dn="Z_1CA6CCC9_64EF_4CA9_9C9C_1E572976D134_.wvu.Rows" sId="1"/>
    <undo index="65535" exp="area" ref3D="1" dr="$A$909:$XFD$911" dn="Z_1CA6CCC9_64EF_4CA9_9C9C_1E572976D134_.wvu.Rows" sId="1"/>
    <undo index="65535" exp="area" ref3D="1" dr="$A$886:$XFD$906" dn="Z_1CA6CCC9_64EF_4CA9_9C9C_1E572976D134_.wvu.Rows" sId="1"/>
    <undo index="65535" exp="area" ref3D="1" dr="$A$863:$XFD$884" dn="Z_1CA6CCC9_64EF_4CA9_9C9C_1E572976D134_.wvu.Rows" sId="1"/>
    <undo index="65535" exp="area" ref3D="1" dr="$A$857:$XFD$861" dn="Z_1CA6CCC9_64EF_4CA9_9C9C_1E572976D134_.wvu.Rows" sId="1"/>
    <undo index="65535" exp="area" ref3D="1" dr="$A$825:$XFD$854" dn="Z_1CA6CCC9_64EF_4CA9_9C9C_1E572976D134_.wvu.Rows" sId="1"/>
    <undo index="65535" exp="area" ref3D="1" dr="$A$810:$XFD$823" dn="Z_1CA6CCC9_64EF_4CA9_9C9C_1E572976D134_.wvu.Rows" sId="1"/>
    <undo index="65535" exp="area" ref3D="1" dr="$A$806:$XFD$808" dn="Z_1CA6CCC9_64EF_4CA9_9C9C_1E572976D134_.wvu.Rows" sId="1"/>
    <undo index="65535" exp="area" ref3D="1" dr="$A$782:$XFD$803" dn="Z_1CA6CCC9_64EF_4CA9_9C9C_1E572976D134_.wvu.Rows" sId="1"/>
    <undo index="65535" exp="area" ref3D="1" dr="$A$761:$XFD$780" dn="Z_1CA6CCC9_64EF_4CA9_9C9C_1E572976D134_.wvu.Rows" sId="1"/>
    <undo index="65535" exp="area" ref3D="1" dr="$A$709:$XFD$758" dn="Z_1CA6CCC9_64EF_4CA9_9C9C_1E572976D134_.wvu.Rows" sId="1"/>
    <undo index="65535" exp="area" ref3D="1" dr="$A$691:$XFD$707" dn="Z_1CA6CCC9_64EF_4CA9_9C9C_1E572976D134_.wvu.Rows" sId="1"/>
    <undo index="65535" exp="area" ref3D="1" dr="$A$668:$XFD$689" dn="Z_1CA6CCC9_64EF_4CA9_9C9C_1E572976D134_.wvu.Rows" sId="1"/>
    <undo index="65535" exp="area" ref3D="1" dr="$A$603:$XFD$666" dn="Z_1CA6CCC9_64EF_4CA9_9C9C_1E572976D134_.wvu.Rows" sId="1"/>
    <undo index="65535" exp="area" ref3D="1" dr="$A$581:$XFD$601" dn="Z_1CA6CCC9_64EF_4CA9_9C9C_1E572976D134_.wvu.Rows" sId="1"/>
    <undo index="65535" exp="area" ref3D="1" dr="$A$574:$XFD$578" dn="Z_1CA6CCC9_64EF_4CA9_9C9C_1E572976D134_.wvu.Rows" sId="1"/>
    <undo index="65535" exp="area" ref3D="1" dr="$A$552:$XFD$571" dn="Z_1CA6CCC9_64EF_4CA9_9C9C_1E572976D134_.wvu.Rows" sId="1"/>
    <undo index="65535" exp="area" ref3D="1" dr="$A$470:$XFD$550" dn="Z_1CA6CCC9_64EF_4CA9_9C9C_1E572976D134_.wvu.Rows" sId="1"/>
  </rrc>
  <rcc rId="1551" sId="1" odxf="1" s="1" dxf="1">
    <nc r="A505" t="inlineStr">
      <is>
        <t>Предпроектная проработка земельного участка под строительство кладбища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552" sId="1" odxf="1" s="1" dxf="1">
    <nc r="A50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553" sId="1" odxf="1" dxf="1">
    <nc r="B505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4" sId="1" odxf="1" dxf="1">
    <nc r="C505" t="inlineStr">
      <is>
        <t>11 2 01 10862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505" start="0" length="0">
    <dxf>
      <font>
        <sz val="12"/>
        <name val="Times New Roman"/>
        <family val="1"/>
      </font>
    </dxf>
  </rfmt>
  <rcc rId="1555" sId="1" odxf="1" dxf="1">
    <nc r="B506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6" sId="1" odxf="1" dxf="1">
    <nc r="C506" t="inlineStr">
      <is>
        <t>11 2 01 10862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7" sId="1" odxf="1" dxf="1">
    <nc r="D506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8" sId="1" numFmtId="4">
    <nc r="E506">
      <v>600</v>
    </nc>
  </rcc>
  <rcc rId="1559" sId="1">
    <nc r="E505">
      <f>+E506</f>
    </nc>
  </rcc>
  <rcc rId="1560" sId="1">
    <nc r="F505">
      <f>+F506</f>
    </nc>
  </rcc>
  <rcc rId="1561" sId="1">
    <nc r="G505">
      <f>+G506</f>
    </nc>
  </rcc>
  <rcc rId="1562" sId="1">
    <oc r="E480">
      <f>E481+E485+E509+E511+E487+E489+E491+E493+E495+E483+E507+E497+E503+E499+E501</f>
    </oc>
    <nc r="E480">
      <f>E481+E485+E509+E511+E487+E489+E491+E493+E495+E483+E507+E497+E503+E499+E501+E505</f>
    </nc>
  </rcc>
  <rcc rId="1563" sId="1">
    <oc r="F480">
      <f>F481+F485+F509+F511+F487+F489+F491+F493+F495+F483+F507+F497+F503</f>
    </oc>
    <nc r="F480">
      <f>F481+F485+F509+F511+F487+F489+F491+F493+F495+F483+F507+F497+F503+F499+F501+F505</f>
    </nc>
  </rcc>
  <rcc rId="1564" sId="1">
    <oc r="G480">
      <f>G481+G485+G509+G511+G487+G489+G491+G493+G495+G483+G507+G497+G503</f>
    </oc>
    <nc r="G480">
      <f>G481+G485+G509+G511+G487+G489+G491+G493+G495+G483+G507+G497+G503+G499+G501+G505</f>
    </nc>
  </rcc>
  <rfmt sheetId="1" s="1" sqref="H480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="1" sqref="I480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cc rId="1565" sId="1">
    <oc r="E518">
      <f>25068.4+768.4</f>
    </oc>
    <nc r="E518">
      <f>25068.4+768.4+1107.8-2059.8</f>
    </nc>
  </rcc>
  <rcc rId="1566" sId="1" numFmtId="4">
    <oc r="E520">
      <v>65727.5</v>
    </oc>
    <nc r="E520">
      <f>65727.5-18957.4</f>
    </nc>
  </rcc>
  <rcc rId="1567" sId="1">
    <oc r="E527">
      <f>30000+67600+17307.5</f>
    </oc>
    <nc r="E527">
      <f>30000+67600+17307.5-1298.8</f>
    </nc>
  </rcc>
  <rcc rId="1568" sId="1" numFmtId="4">
    <oc r="E529">
      <v>1641.2</v>
    </oc>
    <nc r="E529">
      <f>1641.2-563.5</f>
    </nc>
  </rcc>
  <rcc rId="1569" sId="1" numFmtId="4">
    <oc r="E533">
      <v>88</v>
    </oc>
    <nc r="E533">
      <f>88-4.2</f>
    </nc>
  </rcc>
  <rcc rId="1570" sId="1" numFmtId="4">
    <oc r="E535">
      <v>100</v>
    </oc>
    <nc r="E535">
      <f>100-4.8</f>
    </nc>
  </rcc>
  <rcc rId="1571" sId="1" numFmtId="4">
    <oc r="E539">
      <v>1846.7</v>
    </oc>
    <nc r="E539">
      <f>1846.7-627.9</f>
    </nc>
  </rcc>
  <rrc rId="1572" sId="1" ref="A548:XFD548" action="insertRow">
    <undo index="65535" exp="area" ref3D="1" dr="$A$915:$XFD$917" dn="Z_1CA6CCC9_64EF_4CA9_9C9C_1E572976D134_.wvu.Rows" sId="1"/>
    <undo index="65535" exp="area" ref3D="1" dr="$A$910:$XFD$912" dn="Z_1CA6CCC9_64EF_4CA9_9C9C_1E572976D134_.wvu.Rows" sId="1"/>
    <undo index="65535" exp="area" ref3D="1" dr="$A$887:$XFD$907" dn="Z_1CA6CCC9_64EF_4CA9_9C9C_1E572976D134_.wvu.Rows" sId="1"/>
    <undo index="65535" exp="area" ref3D="1" dr="$A$864:$XFD$885" dn="Z_1CA6CCC9_64EF_4CA9_9C9C_1E572976D134_.wvu.Rows" sId="1"/>
    <undo index="65535" exp="area" ref3D="1" dr="$A$858:$XFD$862" dn="Z_1CA6CCC9_64EF_4CA9_9C9C_1E572976D134_.wvu.Rows" sId="1"/>
    <undo index="65535" exp="area" ref3D="1" dr="$A$826:$XFD$855" dn="Z_1CA6CCC9_64EF_4CA9_9C9C_1E572976D134_.wvu.Rows" sId="1"/>
    <undo index="65535" exp="area" ref3D="1" dr="$A$811:$XFD$824" dn="Z_1CA6CCC9_64EF_4CA9_9C9C_1E572976D134_.wvu.Rows" sId="1"/>
    <undo index="65535" exp="area" ref3D="1" dr="$A$807:$XFD$809" dn="Z_1CA6CCC9_64EF_4CA9_9C9C_1E572976D134_.wvu.Rows" sId="1"/>
    <undo index="65535" exp="area" ref3D="1" dr="$A$783:$XFD$804" dn="Z_1CA6CCC9_64EF_4CA9_9C9C_1E572976D134_.wvu.Rows" sId="1"/>
    <undo index="65535" exp="area" ref3D="1" dr="$A$762:$XFD$781" dn="Z_1CA6CCC9_64EF_4CA9_9C9C_1E572976D134_.wvu.Rows" sId="1"/>
    <undo index="65535" exp="area" ref3D="1" dr="$A$710:$XFD$759" dn="Z_1CA6CCC9_64EF_4CA9_9C9C_1E572976D134_.wvu.Rows" sId="1"/>
    <undo index="65535" exp="area" ref3D="1" dr="$A$692:$XFD$708" dn="Z_1CA6CCC9_64EF_4CA9_9C9C_1E572976D134_.wvu.Rows" sId="1"/>
    <undo index="65535" exp="area" ref3D="1" dr="$A$669:$XFD$690" dn="Z_1CA6CCC9_64EF_4CA9_9C9C_1E572976D134_.wvu.Rows" sId="1"/>
    <undo index="65535" exp="area" ref3D="1" dr="$A$604:$XFD$667" dn="Z_1CA6CCC9_64EF_4CA9_9C9C_1E572976D134_.wvu.Rows" sId="1"/>
    <undo index="65535" exp="area" ref3D="1" dr="$A$582:$XFD$602" dn="Z_1CA6CCC9_64EF_4CA9_9C9C_1E572976D134_.wvu.Rows" sId="1"/>
    <undo index="65535" exp="area" ref3D="1" dr="$A$575:$XFD$579" dn="Z_1CA6CCC9_64EF_4CA9_9C9C_1E572976D134_.wvu.Rows" sId="1"/>
    <undo index="65535" exp="area" ref3D="1" dr="$A$553:$XFD$572" dn="Z_1CA6CCC9_64EF_4CA9_9C9C_1E572976D134_.wvu.Rows" sId="1"/>
    <undo index="65535" exp="area" ref3D="1" dr="$A$470:$XFD$551" dn="Z_1CA6CCC9_64EF_4CA9_9C9C_1E572976D134_.wvu.Rows" sId="1"/>
  </rrc>
  <rrc rId="1573" sId="1" ref="A548:XFD548" action="insertRow">
    <undo index="65535" exp="area" ref3D="1" dr="$A$916:$XFD$918" dn="Z_1CA6CCC9_64EF_4CA9_9C9C_1E572976D134_.wvu.Rows" sId="1"/>
    <undo index="65535" exp="area" ref3D="1" dr="$A$911:$XFD$913" dn="Z_1CA6CCC9_64EF_4CA9_9C9C_1E572976D134_.wvu.Rows" sId="1"/>
    <undo index="65535" exp="area" ref3D="1" dr="$A$888:$XFD$908" dn="Z_1CA6CCC9_64EF_4CA9_9C9C_1E572976D134_.wvu.Rows" sId="1"/>
    <undo index="65535" exp="area" ref3D="1" dr="$A$865:$XFD$886" dn="Z_1CA6CCC9_64EF_4CA9_9C9C_1E572976D134_.wvu.Rows" sId="1"/>
    <undo index="65535" exp="area" ref3D="1" dr="$A$859:$XFD$863" dn="Z_1CA6CCC9_64EF_4CA9_9C9C_1E572976D134_.wvu.Rows" sId="1"/>
    <undo index="65535" exp="area" ref3D="1" dr="$A$827:$XFD$856" dn="Z_1CA6CCC9_64EF_4CA9_9C9C_1E572976D134_.wvu.Rows" sId="1"/>
    <undo index="65535" exp="area" ref3D="1" dr="$A$812:$XFD$825" dn="Z_1CA6CCC9_64EF_4CA9_9C9C_1E572976D134_.wvu.Rows" sId="1"/>
    <undo index="65535" exp="area" ref3D="1" dr="$A$808:$XFD$810" dn="Z_1CA6CCC9_64EF_4CA9_9C9C_1E572976D134_.wvu.Rows" sId="1"/>
    <undo index="65535" exp="area" ref3D="1" dr="$A$784:$XFD$805" dn="Z_1CA6CCC9_64EF_4CA9_9C9C_1E572976D134_.wvu.Rows" sId="1"/>
    <undo index="65535" exp="area" ref3D="1" dr="$A$763:$XFD$782" dn="Z_1CA6CCC9_64EF_4CA9_9C9C_1E572976D134_.wvu.Rows" sId="1"/>
    <undo index="65535" exp="area" ref3D="1" dr="$A$711:$XFD$760" dn="Z_1CA6CCC9_64EF_4CA9_9C9C_1E572976D134_.wvu.Rows" sId="1"/>
    <undo index="65535" exp="area" ref3D="1" dr="$A$693:$XFD$709" dn="Z_1CA6CCC9_64EF_4CA9_9C9C_1E572976D134_.wvu.Rows" sId="1"/>
    <undo index="65535" exp="area" ref3D="1" dr="$A$670:$XFD$691" dn="Z_1CA6CCC9_64EF_4CA9_9C9C_1E572976D134_.wvu.Rows" sId="1"/>
    <undo index="65535" exp="area" ref3D="1" dr="$A$605:$XFD$668" dn="Z_1CA6CCC9_64EF_4CA9_9C9C_1E572976D134_.wvu.Rows" sId="1"/>
    <undo index="65535" exp="area" ref3D="1" dr="$A$583:$XFD$603" dn="Z_1CA6CCC9_64EF_4CA9_9C9C_1E572976D134_.wvu.Rows" sId="1"/>
    <undo index="65535" exp="area" ref3D="1" dr="$A$576:$XFD$580" dn="Z_1CA6CCC9_64EF_4CA9_9C9C_1E572976D134_.wvu.Rows" sId="1"/>
    <undo index="65535" exp="area" ref3D="1" dr="$A$554:$XFD$573" dn="Z_1CA6CCC9_64EF_4CA9_9C9C_1E572976D134_.wvu.Rows" sId="1"/>
    <undo index="65535" exp="area" ref3D="1" dr="$A$470:$XFD$552" dn="Z_1CA6CCC9_64EF_4CA9_9C9C_1E572976D134_.wvu.Rows" sId="1"/>
  </rrc>
  <rcc rId="1574" sId="1" odxf="1" dxf="1">
    <nc r="A548" t="inlineStr">
      <is>
        <t>Установка и демонтаж временных опор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5" sId="1" odxf="1" dxf="1">
    <nc r="A549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6" sId="1" odxf="1" dxf="1">
    <nc r="B548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7" sId="1" odxf="1" dxf="1">
    <nc r="C548" t="inlineStr">
      <is>
        <t>11 3 01 10905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548" start="0" length="0">
    <dxf>
      <font>
        <sz val="12"/>
        <name val="Times New Roman"/>
        <family val="1"/>
      </font>
    </dxf>
  </rfmt>
  <rcc rId="1578" sId="1" odxf="1" dxf="1">
    <nc r="B549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9" sId="1" odxf="1" dxf="1">
    <nc r="C549" t="inlineStr">
      <is>
        <t>11 3 01 10905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80" sId="1" odxf="1" dxf="1">
    <nc r="D549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81" sId="1">
    <nc r="E549">
      <f>1200+965.1</f>
    </nc>
  </rcc>
  <rcc rId="1582" sId="1">
    <nc r="E548">
      <f>+E549</f>
    </nc>
  </rcc>
  <rcc rId="1583" sId="1">
    <nc r="F548">
      <f>+F549</f>
    </nc>
  </rcc>
  <rcc rId="1584" sId="1">
    <nc r="G548">
      <f>+G549</f>
    </nc>
  </rcc>
  <rcc rId="1585" sId="1">
    <oc r="E514">
      <f>E515+E519+E517+E522+E524+E526+E528+E530+E532+E534+E536+E542+E544+E552+E538+E546+E540+E550</f>
    </oc>
    <nc r="E514">
      <f>E515+E519+E517+E522+E524+E526+E528+E530+E532+E534+E536+E542+E544+E552+E538+E546+E540+E550+E548</f>
    </nc>
  </rcc>
  <rcc rId="1586" sId="1" numFmtId="4">
    <oc r="E551">
      <v>68.5</v>
    </oc>
    <nc r="E551">
      <f>68.5-14.7</f>
    </nc>
  </rcc>
  <rcc rId="1587" sId="1">
    <oc r="E553">
      <f>256430.9+18274.4</f>
    </oc>
    <nc r="E553">
      <f>256430.9+18274.4-27513</f>
    </nc>
  </rcc>
  <rcc rId="1588" sId="1">
    <oc r="E564">
      <f>87860.9+2386.9</f>
    </oc>
    <nc r="E564">
      <f>87860.9+2386.9+115</f>
    </nc>
  </rcc>
  <rcc rId="1589" sId="1" numFmtId="4">
    <oc r="E565">
      <v>2408.8000000000002</v>
    </oc>
    <nc r="E565">
      <f>2408.8+553.1</f>
    </nc>
  </rcc>
  <rcc rId="1590" sId="1" numFmtId="4">
    <oc r="E566">
      <v>1851</v>
    </oc>
    <nc r="E566">
      <f>1851+544.1</f>
    </nc>
  </rcc>
  <rcc rId="1591" sId="1" numFmtId="4">
    <oc r="E567">
      <v>187.1</v>
    </oc>
    <nc r="E567">
      <f>187.1+35</f>
    </nc>
  </rcc>
  <rcc rId="1592" sId="1">
    <oc r="E521">
      <v>52459.7</v>
    </oc>
    <nc r="E521">
      <f>52459.7+15000+3957.4</f>
    </nc>
  </rcc>
  <rcc rId="1593" sId="1" numFmtId="4">
    <oc r="E604">
      <v>1375.9</v>
    </oc>
    <nc r="E604">
      <f>1375.9+200</f>
    </nc>
  </rcc>
  <rcc rId="1594" sId="1">
    <oc r="E636">
      <f>544267.5+1388.7+1286.4+9551.8+330+1020.9+5153.6+7290.1</f>
    </oc>
    <nc r="E636">
      <f>544267.5+1388.7+1286.4+9551.8+330+1020.9+5153.6+7290.1-6813</f>
    </nc>
  </rcc>
  <rcc rId="1595" sId="1" numFmtId="4">
    <oc r="E663">
      <v>655.7</v>
    </oc>
    <nc r="E663">
      <f>655.7+25.4</f>
    </nc>
  </rcc>
  <rcc rId="1596" sId="1" numFmtId="4">
    <oc r="E667">
      <v>2539.4</v>
    </oc>
    <nc r="E667">
      <f>2539.4+824.6</f>
    </nc>
  </rcc>
  <rcc rId="1597" sId="1" numFmtId="4">
    <oc r="E669">
      <v>2109.9</v>
    </oc>
    <nc r="E669">
      <f>2109.9-1500</f>
    </nc>
  </rcc>
  <rcc rId="1598" sId="1">
    <oc r="E679">
      <f>178459.7+213</f>
    </oc>
    <nc r="E679">
      <f>178459.7+213+6813</f>
    </nc>
  </rcc>
  <rcc rId="1599" sId="1" numFmtId="4">
    <oc r="E745">
      <v>5747.6</v>
    </oc>
    <nc r="E745">
      <f>5747.6-25.4</f>
    </nc>
  </rcc>
  <rcc rId="1600" sId="1">
    <oc r="E750">
      <f>54659.1+2413.1</f>
    </oc>
    <nc r="E750">
      <f>54659.1+2413.1+180.2</f>
    </nc>
  </rcc>
  <rcc rId="1601" sId="1">
    <oc r="E751">
      <f>1154+53</f>
    </oc>
    <nc r="E751">
      <f>1154+53+53</f>
    </nc>
  </rcc>
  <rcc rId="1602" sId="1">
    <oc r="E756">
      <f>103943+1448.7</f>
    </oc>
    <nc r="E756">
      <f>103943+1448.7+4.9</f>
    </nc>
  </rcc>
  <rcc rId="1603" sId="1">
    <oc r="E757">
      <f>4674.3+53</f>
    </oc>
    <nc r="E757">
      <f>4674.3+53+237.3</f>
    </nc>
  </rcc>
  <rcc rId="1604" sId="1" numFmtId="4">
    <oc r="E692">
      <v>197520</v>
    </oc>
    <nc r="E692">
      <f>197520-451.6</f>
    </nc>
  </rcc>
  <rcc rId="1605" sId="1">
    <oc r="E84">
      <f>18579.5+37.9+100+3594.9</f>
    </oc>
    <nc r="E84">
      <f>18579.5+37.9+100+3594.9+0.1</f>
    </nc>
  </rcc>
  <rcc rId="1606" sId="1">
    <oc r="E783">
      <f>370930.1+6233.3</f>
    </oc>
    <nc r="E783">
      <f>370930.1+6233.3+451.6</f>
    </nc>
  </rcc>
  <rcc rId="1607" sId="1">
    <oc r="E799">
      <f>482.2+112.3</f>
    </oc>
    <nc r="E799">
      <f>482.2+112.3-112.3</f>
    </nc>
  </rcc>
  <rcc rId="1608" sId="1">
    <oc r="E801">
      <v>1169</v>
    </oc>
    <nc r="E801">
      <f>1169+112.3</f>
    </nc>
  </rcc>
  <rrc rId="1609" sId="1" ref="A807:XFD807" action="insertRow">
    <undo index="65535" exp="area" ref3D="1" dr="$A$917:$XFD$919" dn="Z_1CA6CCC9_64EF_4CA9_9C9C_1E572976D134_.wvu.Rows" sId="1"/>
    <undo index="65535" exp="area" ref3D="1" dr="$A$912:$XFD$914" dn="Z_1CA6CCC9_64EF_4CA9_9C9C_1E572976D134_.wvu.Rows" sId="1"/>
    <undo index="65535" exp="area" ref3D="1" dr="$A$889:$XFD$909" dn="Z_1CA6CCC9_64EF_4CA9_9C9C_1E572976D134_.wvu.Rows" sId="1"/>
    <undo index="65535" exp="area" ref3D="1" dr="$A$866:$XFD$887" dn="Z_1CA6CCC9_64EF_4CA9_9C9C_1E572976D134_.wvu.Rows" sId="1"/>
    <undo index="65535" exp="area" ref3D="1" dr="$A$860:$XFD$864" dn="Z_1CA6CCC9_64EF_4CA9_9C9C_1E572976D134_.wvu.Rows" sId="1"/>
    <undo index="65535" exp="area" ref3D="1" dr="$A$828:$XFD$857" dn="Z_1CA6CCC9_64EF_4CA9_9C9C_1E572976D134_.wvu.Rows" sId="1"/>
    <undo index="65535" exp="area" ref3D="1" dr="$A$813:$XFD$826" dn="Z_1CA6CCC9_64EF_4CA9_9C9C_1E572976D134_.wvu.Rows" sId="1"/>
    <undo index="65535" exp="area" ref3D="1" dr="$A$809:$XFD$811" dn="Z_1CA6CCC9_64EF_4CA9_9C9C_1E572976D134_.wvu.Rows" sId="1"/>
  </rrc>
  <rcc rId="1610" sId="1" odxf="1" dxf="1">
    <nc r="A807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1" formatCode="0"/>
    </ndxf>
  </rcc>
  <rcc rId="1611" sId="1" odxf="1" s="1" dxf="1">
    <nc r="B807" t="inlineStr">
      <is>
        <t>0804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2" sId="1" odxf="1" s="1" dxf="1">
    <nc r="C807" t="inlineStr">
      <is>
        <t>05 3 03  70110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3" sId="1" odxf="1" s="1" dxf="1">
    <nc r="D807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4" sId="1">
    <oc r="E805">
      <f>E806</f>
    </oc>
    <nc r="E805">
      <f>E806+E807</f>
    </nc>
  </rcc>
  <rcc rId="1615" sId="1">
    <oc r="F805">
      <f>F806</f>
    </oc>
    <nc r="F805">
      <f>F806+F807</f>
    </nc>
  </rcc>
  <rcc rId="1616" sId="1">
    <oc r="G805">
      <f>G806</f>
    </oc>
    <nc r="G805">
      <f>G806+G807</f>
    </nc>
  </rcc>
  <rcc rId="1617" sId="1" numFmtId="4">
    <oc r="E806">
      <v>299</v>
    </oc>
    <nc r="E806">
      <f>299-200</f>
    </nc>
  </rcc>
  <rcc rId="1618" sId="1" numFmtId="4">
    <nc r="E807">
      <v>200</v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рпр!$C$1:$C$938</formula>
    <oldFormula>рпр!$C$1:$C$938</oldFormula>
  </rdn>
  <rcv guid="{AA62EF5A-85DE-4BC8-95D5-4F54CE8CF3D6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1" sId="1" ref="A354:XFD354" action="insertRow">
    <undo index="65535" exp="area" ref3D="1" dr="$A$918:$XFD$920" dn="Z_1CA6CCC9_64EF_4CA9_9C9C_1E572976D134_.wvu.Rows" sId="1"/>
    <undo index="65535" exp="area" ref3D="1" dr="$A$913:$XFD$915" dn="Z_1CA6CCC9_64EF_4CA9_9C9C_1E572976D134_.wvu.Rows" sId="1"/>
    <undo index="65535" exp="area" ref3D="1" dr="$A$890:$XFD$910" dn="Z_1CA6CCC9_64EF_4CA9_9C9C_1E572976D134_.wvu.Rows" sId="1"/>
    <undo index="65535" exp="area" ref3D="1" dr="$A$867:$XFD$888" dn="Z_1CA6CCC9_64EF_4CA9_9C9C_1E572976D134_.wvu.Rows" sId="1"/>
    <undo index="65535" exp="area" ref3D="1" dr="$A$861:$XFD$865" dn="Z_1CA6CCC9_64EF_4CA9_9C9C_1E572976D134_.wvu.Rows" sId="1"/>
    <undo index="65535" exp="area" ref3D="1" dr="$A$829:$XFD$858" dn="Z_1CA6CCC9_64EF_4CA9_9C9C_1E572976D134_.wvu.Rows" sId="1"/>
    <undo index="65535" exp="area" ref3D="1" dr="$A$814:$XFD$827" dn="Z_1CA6CCC9_64EF_4CA9_9C9C_1E572976D134_.wvu.Rows" sId="1"/>
    <undo index="65535" exp="area" ref3D="1" dr="$A$810:$XFD$812" dn="Z_1CA6CCC9_64EF_4CA9_9C9C_1E572976D134_.wvu.Rows" sId="1"/>
    <undo index="65535" exp="area" ref3D="1" dr="$A$785:$XFD$806" dn="Z_1CA6CCC9_64EF_4CA9_9C9C_1E572976D134_.wvu.Rows" sId="1"/>
    <undo index="65535" exp="area" ref3D="1" dr="$A$764:$XFD$783" dn="Z_1CA6CCC9_64EF_4CA9_9C9C_1E572976D134_.wvu.Rows" sId="1"/>
    <undo index="65535" exp="area" ref3D="1" dr="$A$712:$XFD$761" dn="Z_1CA6CCC9_64EF_4CA9_9C9C_1E572976D134_.wvu.Rows" sId="1"/>
    <undo index="65535" exp="area" ref3D="1" dr="$A$694:$XFD$710" dn="Z_1CA6CCC9_64EF_4CA9_9C9C_1E572976D134_.wvu.Rows" sId="1"/>
    <undo index="65535" exp="area" ref3D="1" dr="$A$671:$XFD$692" dn="Z_1CA6CCC9_64EF_4CA9_9C9C_1E572976D134_.wvu.Rows" sId="1"/>
    <undo index="65535" exp="area" ref3D="1" dr="$A$606:$XFD$669" dn="Z_1CA6CCC9_64EF_4CA9_9C9C_1E572976D134_.wvu.Rows" sId="1"/>
    <undo index="65535" exp="area" ref3D="1" dr="$A$584:$XFD$604" dn="Z_1CA6CCC9_64EF_4CA9_9C9C_1E572976D134_.wvu.Rows" sId="1"/>
    <undo index="65535" exp="area" ref3D="1" dr="$A$577:$XFD$581" dn="Z_1CA6CCC9_64EF_4CA9_9C9C_1E572976D134_.wvu.Rows" sId="1"/>
    <undo index="65535" exp="area" ref3D="1" dr="$A$555:$XFD$574" dn="Z_1CA6CCC9_64EF_4CA9_9C9C_1E572976D134_.wvu.Rows" sId="1"/>
    <undo index="65535" exp="area" ref3D="1" dr="$A$470:$XFD$553" dn="Z_1CA6CCC9_64EF_4CA9_9C9C_1E572976D134_.wvu.Rows" sId="1"/>
    <undo index="65535" exp="area" ref3D="1" dr="$A$330:$XFD$468" dn="Z_1CA6CCC9_64EF_4CA9_9C9C_1E572976D134_.wvu.Rows" sId="1"/>
  </rrc>
  <rrc rId="1622" sId="1" ref="A354:XFD354" action="insertRow">
    <undo index="65535" exp="area" ref3D="1" dr="$A$919:$XFD$921" dn="Z_1CA6CCC9_64EF_4CA9_9C9C_1E572976D134_.wvu.Rows" sId="1"/>
    <undo index="65535" exp="area" ref3D="1" dr="$A$914:$XFD$916" dn="Z_1CA6CCC9_64EF_4CA9_9C9C_1E572976D134_.wvu.Rows" sId="1"/>
    <undo index="65535" exp="area" ref3D="1" dr="$A$891:$XFD$911" dn="Z_1CA6CCC9_64EF_4CA9_9C9C_1E572976D134_.wvu.Rows" sId="1"/>
    <undo index="65535" exp="area" ref3D="1" dr="$A$868:$XFD$889" dn="Z_1CA6CCC9_64EF_4CA9_9C9C_1E572976D134_.wvu.Rows" sId="1"/>
    <undo index="65535" exp="area" ref3D="1" dr="$A$862:$XFD$866" dn="Z_1CA6CCC9_64EF_4CA9_9C9C_1E572976D134_.wvu.Rows" sId="1"/>
    <undo index="65535" exp="area" ref3D="1" dr="$A$830:$XFD$859" dn="Z_1CA6CCC9_64EF_4CA9_9C9C_1E572976D134_.wvu.Rows" sId="1"/>
    <undo index="65535" exp="area" ref3D="1" dr="$A$815:$XFD$828" dn="Z_1CA6CCC9_64EF_4CA9_9C9C_1E572976D134_.wvu.Rows" sId="1"/>
    <undo index="65535" exp="area" ref3D="1" dr="$A$811:$XFD$813" dn="Z_1CA6CCC9_64EF_4CA9_9C9C_1E572976D134_.wvu.Rows" sId="1"/>
    <undo index="65535" exp="area" ref3D="1" dr="$A$786:$XFD$807" dn="Z_1CA6CCC9_64EF_4CA9_9C9C_1E572976D134_.wvu.Rows" sId="1"/>
    <undo index="65535" exp="area" ref3D="1" dr="$A$765:$XFD$784" dn="Z_1CA6CCC9_64EF_4CA9_9C9C_1E572976D134_.wvu.Rows" sId="1"/>
    <undo index="65535" exp="area" ref3D="1" dr="$A$713:$XFD$762" dn="Z_1CA6CCC9_64EF_4CA9_9C9C_1E572976D134_.wvu.Rows" sId="1"/>
    <undo index="65535" exp="area" ref3D="1" dr="$A$695:$XFD$711" dn="Z_1CA6CCC9_64EF_4CA9_9C9C_1E572976D134_.wvu.Rows" sId="1"/>
    <undo index="65535" exp="area" ref3D="1" dr="$A$672:$XFD$693" dn="Z_1CA6CCC9_64EF_4CA9_9C9C_1E572976D134_.wvu.Rows" sId="1"/>
    <undo index="65535" exp="area" ref3D="1" dr="$A$607:$XFD$670" dn="Z_1CA6CCC9_64EF_4CA9_9C9C_1E572976D134_.wvu.Rows" sId="1"/>
    <undo index="65535" exp="area" ref3D="1" dr="$A$585:$XFD$605" dn="Z_1CA6CCC9_64EF_4CA9_9C9C_1E572976D134_.wvu.Rows" sId="1"/>
    <undo index="65535" exp="area" ref3D="1" dr="$A$578:$XFD$582" dn="Z_1CA6CCC9_64EF_4CA9_9C9C_1E572976D134_.wvu.Rows" sId="1"/>
    <undo index="65535" exp="area" ref3D="1" dr="$A$556:$XFD$575" dn="Z_1CA6CCC9_64EF_4CA9_9C9C_1E572976D134_.wvu.Rows" sId="1"/>
    <undo index="65535" exp="area" ref3D="1" dr="$A$471:$XFD$554" dn="Z_1CA6CCC9_64EF_4CA9_9C9C_1E572976D134_.wvu.Rows" sId="1"/>
    <undo index="65535" exp="area" ref3D="1" dr="$A$330:$XFD$469" dn="Z_1CA6CCC9_64EF_4CA9_9C9C_1E572976D134_.wvu.Rows" sId="1"/>
  </rrc>
  <rcc rId="1623" sId="1" odxf="1" dxf="1">
    <nc r="A354" t="inlineStr">
      <is>
    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    </is>
    </nc>
    <odxf>
      <alignment horizontal="general"/>
    </odxf>
    <ndxf>
      <alignment horizontal="left"/>
    </ndxf>
  </rcc>
  <rcc rId="1624" sId="1" odxf="1" dxf="1">
    <nc r="A355" t="inlineStr">
      <is>
        <t>Капитальные вложения в объекты государственной (муниципальной) собственности</t>
      </is>
    </nc>
    <odxf>
      <alignment horizontal="general"/>
    </odxf>
    <ndxf>
      <alignment horizontal="left"/>
    </ndxf>
  </rcc>
  <rcc rId="1625" sId="1">
    <nc r="B354" t="inlineStr">
      <is>
        <t>0502</t>
      </is>
    </nc>
  </rcc>
  <rcc rId="1626" sId="1">
    <nc r="C354" t="inlineStr">
      <is>
        <t>03 2 01 10720</t>
      </is>
    </nc>
  </rcc>
  <rcc rId="1627" sId="1">
    <nc r="B355" t="inlineStr">
      <is>
        <t>0502</t>
      </is>
    </nc>
  </rcc>
  <rcc rId="1628" sId="1">
    <nc r="C355" t="inlineStr">
      <is>
        <t>03 2 01 10720</t>
      </is>
    </nc>
  </rcc>
  <rcc rId="1629" sId="1">
    <nc r="D355" t="inlineStr">
      <is>
        <t>400</t>
      </is>
    </nc>
  </rcc>
  <rcc rId="1630" sId="1" numFmtId="4">
    <nc r="E355">
      <v>13860.7</v>
    </nc>
  </rcc>
  <rcc rId="1631" sId="1">
    <oc r="E336">
      <f>E337+E339+E342+E344+E366+E374+E376+E378+E380+E356+E364+E382+E384+E386+E388+E390+E392+E362+E394+E396+E398+E400+E402+E404+E406+E408+E410+E412+E414+E416+E424+E418+E420+E422+E348+E350+E352+E358+E360+E368+E370+E372+E428+E430+E432+E436+E438+E442+E444+E446+E448+E450+E426+E434+E440+E346</f>
    </oc>
    <nc r="E336">
      <f>E337+E339+E342+E344+E366+E374+E376+E378+E380+E356+E364+E382+E384+E386+E388+E390+E392+E362+E394+E396+E398+E400+E402+E404+E406+E408+E410+E412+E414+E416+E424+E418+E420+E422+E348+E350+E352+E358+E360+E368+E370+E372+E428+E430+E432+E436+E438+E442+E444+E446+E448+E450+E426+E434+E440+E346+E354</f>
    </nc>
  </rcc>
  <rrc rId="1632" sId="1" ref="A356:XFD356" action="insertRow">
    <undo index="65535" exp="area" ref3D="1" dr="$A$920:$XFD$922" dn="Z_1CA6CCC9_64EF_4CA9_9C9C_1E572976D134_.wvu.Rows" sId="1"/>
    <undo index="65535" exp="area" ref3D="1" dr="$A$915:$XFD$917" dn="Z_1CA6CCC9_64EF_4CA9_9C9C_1E572976D134_.wvu.Rows" sId="1"/>
    <undo index="65535" exp="area" ref3D="1" dr="$A$892:$XFD$912" dn="Z_1CA6CCC9_64EF_4CA9_9C9C_1E572976D134_.wvu.Rows" sId="1"/>
    <undo index="65535" exp="area" ref3D="1" dr="$A$869:$XFD$890" dn="Z_1CA6CCC9_64EF_4CA9_9C9C_1E572976D134_.wvu.Rows" sId="1"/>
    <undo index="65535" exp="area" ref3D="1" dr="$A$863:$XFD$867" dn="Z_1CA6CCC9_64EF_4CA9_9C9C_1E572976D134_.wvu.Rows" sId="1"/>
    <undo index="65535" exp="area" ref3D="1" dr="$A$831:$XFD$860" dn="Z_1CA6CCC9_64EF_4CA9_9C9C_1E572976D134_.wvu.Rows" sId="1"/>
    <undo index="65535" exp="area" ref3D="1" dr="$A$816:$XFD$829" dn="Z_1CA6CCC9_64EF_4CA9_9C9C_1E572976D134_.wvu.Rows" sId="1"/>
    <undo index="65535" exp="area" ref3D="1" dr="$A$812:$XFD$814" dn="Z_1CA6CCC9_64EF_4CA9_9C9C_1E572976D134_.wvu.Rows" sId="1"/>
    <undo index="65535" exp="area" ref3D="1" dr="$A$787:$XFD$808" dn="Z_1CA6CCC9_64EF_4CA9_9C9C_1E572976D134_.wvu.Rows" sId="1"/>
    <undo index="65535" exp="area" ref3D="1" dr="$A$766:$XFD$785" dn="Z_1CA6CCC9_64EF_4CA9_9C9C_1E572976D134_.wvu.Rows" sId="1"/>
    <undo index="65535" exp="area" ref3D="1" dr="$A$714:$XFD$763" dn="Z_1CA6CCC9_64EF_4CA9_9C9C_1E572976D134_.wvu.Rows" sId="1"/>
    <undo index="65535" exp="area" ref3D="1" dr="$A$696:$XFD$712" dn="Z_1CA6CCC9_64EF_4CA9_9C9C_1E572976D134_.wvu.Rows" sId="1"/>
    <undo index="65535" exp="area" ref3D="1" dr="$A$673:$XFD$694" dn="Z_1CA6CCC9_64EF_4CA9_9C9C_1E572976D134_.wvu.Rows" sId="1"/>
    <undo index="65535" exp="area" ref3D="1" dr="$A$608:$XFD$671" dn="Z_1CA6CCC9_64EF_4CA9_9C9C_1E572976D134_.wvu.Rows" sId="1"/>
    <undo index="65535" exp="area" ref3D="1" dr="$A$586:$XFD$606" dn="Z_1CA6CCC9_64EF_4CA9_9C9C_1E572976D134_.wvu.Rows" sId="1"/>
    <undo index="65535" exp="area" ref3D="1" dr="$A$579:$XFD$583" dn="Z_1CA6CCC9_64EF_4CA9_9C9C_1E572976D134_.wvu.Rows" sId="1"/>
    <undo index="65535" exp="area" ref3D="1" dr="$A$557:$XFD$576" dn="Z_1CA6CCC9_64EF_4CA9_9C9C_1E572976D134_.wvu.Rows" sId="1"/>
    <undo index="65535" exp="area" ref3D="1" dr="$A$472:$XFD$555" dn="Z_1CA6CCC9_64EF_4CA9_9C9C_1E572976D134_.wvu.Rows" sId="1"/>
    <undo index="65535" exp="area" ref3D="1" dr="$A$330:$XFD$470" dn="Z_1CA6CCC9_64EF_4CA9_9C9C_1E572976D134_.wvu.Rows" sId="1"/>
  </rrc>
  <rcc rId="1633" sId="1" odxf="1" dxf="1">
    <nc r="A356" t="inlineStr">
      <is>
        <t>Иные бюджетные ассигнования</t>
      </is>
    </nc>
    <odxf>
      <numFmt numFmtId="0" formatCode="General"/>
    </odxf>
    <ndxf>
      <numFmt numFmtId="1" formatCode="0"/>
    </ndxf>
  </rcc>
  <rcc rId="1634" sId="1">
    <nc r="B356" t="inlineStr">
      <is>
        <t>0502</t>
      </is>
    </nc>
  </rcc>
  <rcc rId="1635" sId="1">
    <nc r="C356" t="inlineStr">
      <is>
        <t>03 2 01 10720</t>
      </is>
    </nc>
  </rcc>
  <rcc rId="1636" sId="1">
    <nc r="D356" t="inlineStr">
      <is>
        <t>800</t>
      </is>
    </nc>
  </rcc>
  <rcc rId="1637" sId="1" numFmtId="4">
    <nc r="E356">
      <v>1996</v>
    </nc>
  </rcc>
  <rcc rId="1638" sId="1">
    <nc r="E354">
      <f>+E355+E356</f>
    </nc>
  </rcc>
  <rcc rId="1639" sId="1">
    <nc r="F354">
      <f>+F355+F356</f>
    </nc>
  </rcc>
  <rcc rId="1640" sId="1">
    <nc r="G354">
      <f>+G355+G356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2">
    <dxf>
      <fill>
        <patternFill patternType="solid">
          <bgColor theme="9" tint="0.79998168889431442"/>
        </patternFill>
      </fill>
    </dxf>
  </rfmt>
  <rcc rId="1641" sId="1" odxf="1" s="1" dxf="1" numFmtId="4">
    <oc r="E16">
      <v>4059</v>
    </oc>
    <nc r="E16">
      <f>E17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642" sId="1" numFmtId="4">
    <oc r="E19">
      <v>4059.1</v>
    </oc>
    <nc r="E19">
      <f>4059.1-0.1</f>
    </nc>
  </rcc>
  <rcc rId="1643" sId="1">
    <oc r="E93">
      <f>1603.7+219.8</f>
    </oc>
    <nc r="E93">
      <f>1603.7+219.8+0.1</f>
    </nc>
  </rcc>
  <rfmt sheetId="1" sqref="E16">
    <dxf>
      <fill>
        <patternFill patternType="solid">
          <bgColor theme="9" tint="0.79998168889431442"/>
        </patternFill>
      </fill>
    </dxf>
  </rfmt>
  <rfmt sheetId="1" sqref="E29">
    <dxf>
      <fill>
        <patternFill patternType="solid">
          <bgColor theme="9" tint="0.79998168889431442"/>
        </patternFill>
      </fill>
    </dxf>
  </rfmt>
  <rfmt sheetId="1" sqref="E47">
    <dxf>
      <fill>
        <patternFill patternType="solid">
          <bgColor theme="9" tint="0.79998168889431442"/>
        </patternFill>
      </fill>
    </dxf>
  </rfmt>
  <rfmt sheetId="1" sqref="E53">
    <dxf>
      <fill>
        <patternFill patternType="solid">
          <bgColor theme="5" tint="0.59999389629810485"/>
        </patternFill>
      </fill>
    </dxf>
  </rfmt>
  <rfmt sheetId="1" sqref="E59">
    <dxf>
      <fill>
        <patternFill patternType="solid">
          <bgColor theme="5" tint="0.59999389629810485"/>
        </patternFill>
      </fill>
    </dxf>
  </rfmt>
  <rcc rId="1644" sId="1" odxf="1" s="1" dxf="1" numFmtId="4">
    <oc r="E63">
      <v>189714.19999999998</v>
    </oc>
    <nc r="E63">
      <f>E64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qref="E63">
    <dxf>
      <fill>
        <patternFill patternType="solid">
          <bgColor theme="5" tint="0.59999389629810485"/>
        </patternFill>
      </fill>
    </dxf>
  </rfmt>
  <rfmt sheetId="1" sqref="E63">
    <dxf>
      <fill>
        <patternFill>
          <bgColor theme="9" tint="0.79998168889431442"/>
        </patternFill>
      </fill>
    </dxf>
  </rfmt>
  <rfmt sheetId="1" sqref="E69">
    <dxf>
      <fill>
        <patternFill patternType="solid">
          <bgColor theme="5" tint="0.59999389629810485"/>
        </patternFill>
      </fill>
    </dxf>
  </rfmt>
  <rfmt sheetId="1" sqref="E125">
    <dxf>
      <fill>
        <patternFill patternType="solid">
          <bgColor theme="5" tint="0.59999389629810485"/>
        </patternFill>
      </fill>
    </dxf>
  </rfmt>
  <rfmt sheetId="1" sqref="E144">
    <dxf>
      <fill>
        <patternFill patternType="solid">
          <bgColor theme="9" tint="0.79998168889431442"/>
        </patternFill>
      </fill>
    </dxf>
  </rfmt>
  <rfmt sheetId="1" sqref="E150">
    <dxf>
      <fill>
        <patternFill patternType="solid">
          <bgColor theme="9" tint="0.79998168889431442"/>
        </patternFill>
      </fill>
    </dxf>
  </rfmt>
  <rfmt sheetId="1" sqref="E154">
    <dxf>
      <fill>
        <patternFill patternType="solid">
          <bgColor theme="9" tint="0.79998168889431442"/>
        </patternFill>
      </fill>
    </dxf>
  </rfmt>
  <rfmt sheetId="1" sqref="E166">
    <dxf>
      <fill>
        <patternFill patternType="solid">
          <bgColor theme="5" tint="0.59999389629810485"/>
        </patternFill>
      </fill>
    </dxf>
  </rfmt>
  <rfmt sheetId="1" sqref="E263">
    <dxf>
      <fill>
        <patternFill patternType="solid">
          <bgColor theme="9" tint="0.79998168889431442"/>
        </patternFill>
      </fill>
    </dxf>
  </rfmt>
  <rfmt sheetId="1" sqref="E290">
    <dxf>
      <fill>
        <patternFill patternType="solid">
          <bgColor theme="9" tint="0.79998168889431442"/>
        </patternFill>
      </fill>
    </dxf>
  </rfmt>
  <rfmt sheetId="1" sqref="E329">
    <dxf>
      <fill>
        <patternFill patternType="solid">
          <bgColor theme="5" tint="0.59999389629810485"/>
        </patternFill>
      </fill>
    </dxf>
  </rfmt>
  <rfmt sheetId="1" sqref="E472">
    <dxf>
      <fill>
        <patternFill patternType="solid">
          <bgColor theme="5" tint="0.59999389629810485"/>
        </patternFill>
      </fill>
    </dxf>
  </rfmt>
  <rfmt sheetId="1" sqref="E557">
    <dxf>
      <fill>
        <patternFill patternType="solid">
          <bgColor theme="9" tint="0.79998168889431442"/>
        </patternFill>
      </fill>
    </dxf>
  </rfmt>
  <rfmt sheetId="1" sqref="E579">
    <dxf>
      <fill>
        <patternFill patternType="solid">
          <bgColor theme="9" tint="0.79998168889431442"/>
        </patternFill>
      </fill>
    </dxf>
  </rfmt>
  <rfmt sheetId="1" sqref="E586">
    <dxf>
      <fill>
        <patternFill patternType="solid">
          <bgColor theme="9" tint="0.79998168889431442"/>
        </patternFill>
      </fill>
    </dxf>
  </rfmt>
  <rfmt sheetId="1" sqref="E608">
    <dxf>
      <fill>
        <patternFill patternType="solid">
          <bgColor theme="9" tint="0.79998168889431442"/>
        </patternFill>
      </fill>
    </dxf>
  </rfmt>
  <rfmt sheetId="1" sqref="E673">
    <dxf>
      <fill>
        <patternFill patternType="solid">
          <bgColor theme="9" tint="0.79998168889431442"/>
        </patternFill>
      </fill>
    </dxf>
  </rfmt>
  <rfmt sheetId="1" sqref="E696">
    <dxf>
      <fill>
        <patternFill patternType="solid">
          <bgColor theme="9" tint="0.79998168889431442"/>
        </patternFill>
      </fill>
    </dxf>
  </rfmt>
  <rfmt sheetId="1" sqref="E714">
    <dxf>
      <fill>
        <patternFill patternType="solid">
          <bgColor theme="9" tint="0.79998168889431442"/>
        </patternFill>
      </fill>
    </dxf>
  </rfmt>
  <rfmt sheetId="1" sqref="E766">
    <dxf>
      <fill>
        <patternFill patternType="solid">
          <bgColor theme="9" tint="0.79998168889431442"/>
        </patternFill>
      </fill>
    </dxf>
  </rfmt>
  <rfmt sheetId="1" sqref="E787">
    <dxf>
      <fill>
        <patternFill patternType="solid">
          <bgColor theme="9" tint="0.79998168889431442"/>
        </patternFill>
      </fill>
    </dxf>
  </rfmt>
  <rfmt sheetId="1" sqref="E812">
    <dxf>
      <fill>
        <patternFill patternType="solid">
          <bgColor theme="9" tint="0.79998168889431442"/>
        </patternFill>
      </fill>
    </dxf>
  </rfmt>
  <rfmt sheetId="1" sqref="E816">
    <dxf>
      <fill>
        <patternFill patternType="solid">
          <bgColor theme="9" tint="0.79998168889431442"/>
        </patternFill>
      </fill>
    </dxf>
  </rfmt>
  <rfmt sheetId="1" sqref="E831">
    <dxf>
      <fill>
        <patternFill patternType="solid">
          <bgColor theme="9" tint="0.79998168889431442"/>
        </patternFill>
      </fill>
    </dxf>
  </rfmt>
  <rfmt sheetId="1" sqref="E863">
    <dxf>
      <fill>
        <patternFill patternType="solid">
          <bgColor theme="9" tint="0.79998168889431442"/>
        </patternFill>
      </fill>
    </dxf>
  </rfmt>
  <rfmt sheetId="1" sqref="E869">
    <dxf>
      <fill>
        <patternFill patternType="solid">
          <bgColor theme="9" tint="0.79998168889431442"/>
        </patternFill>
      </fill>
    </dxf>
  </rfmt>
  <rfmt sheetId="1" sqref="E869">
    <dxf>
      <fill>
        <patternFill>
          <bgColor theme="5" tint="0.59999389629810485"/>
        </patternFill>
      </fill>
    </dxf>
  </rfmt>
  <rfmt sheetId="1" sqref="E892">
    <dxf>
      <fill>
        <patternFill patternType="solid">
          <bgColor theme="9" tint="0.79998168889431442"/>
        </patternFill>
      </fill>
    </dxf>
  </rfmt>
  <rfmt sheetId="1" sqref="E915">
    <dxf>
      <fill>
        <patternFill patternType="solid">
          <bgColor theme="9" tint="0.79998168889431442"/>
        </patternFill>
      </fill>
    </dxf>
  </rfmt>
  <rfmt sheetId="1" sqref="E920">
    <dxf>
      <fill>
        <patternFill patternType="solid">
          <bgColor theme="9" tint="0.79998168889431442"/>
        </patternFill>
      </fill>
    </dxf>
  </rfmt>
  <rcc rId="1645" sId="1">
    <oc r="E56">
      <f>88962.3+1843.8+310</f>
    </oc>
    <nc r="E56">
      <f>93374.5+1843.8+310</f>
    </nc>
  </rcc>
  <rcc rId="1646" sId="1" numFmtId="4">
    <oc r="E58">
      <v>5596.6000000000013</v>
    </oc>
    <nc r="E58">
      <v>124.2</v>
    </nc>
  </rcc>
  <rcc rId="1647" sId="1" numFmtId="4">
    <oc r="F58">
      <v>5767.5</v>
    </oc>
    <nc r="F58">
      <v>104.2</v>
    </nc>
  </rcc>
  <rcc rId="1648" sId="1" numFmtId="4">
    <oc r="G58">
      <v>6135.8</v>
    </oc>
    <nc r="G58">
      <v>104.2</v>
    </nc>
  </rcc>
  <rfmt sheetId="1" sqref="E53">
    <dxf>
      <fill>
        <patternFill>
          <bgColor theme="9" tint="0.79998168889431442"/>
        </patternFill>
      </fill>
    </dxf>
  </rfmt>
  <rcc rId="1649" sId="1" numFmtId="4">
    <oc r="E62">
      <v>189714.19999999998</v>
    </oc>
    <nc r="E62">
      <f>189714.2-15104.3</f>
    </nc>
  </rcc>
  <rfmt sheetId="1" sqref="E59">
    <dxf>
      <fill>
        <patternFill>
          <bgColor theme="9" tint="0.79998168889431442"/>
        </patternFill>
      </fill>
    </dxf>
  </rfmt>
  <rfmt sheetId="1" sqref="E87">
    <dxf>
      <fill>
        <patternFill patternType="solid">
          <bgColor rgb="FFFFFF00"/>
        </patternFill>
      </fill>
    </dxf>
  </rfmt>
  <rcc rId="1650" sId="1" numFmtId="4">
    <oc r="E114">
      <v>60250.899999999994</v>
    </oc>
    <nc r="E114">
      <v>915</v>
    </nc>
  </rcc>
  <rfmt sheetId="1" sqref="E114:E115">
    <dxf>
      <fill>
        <patternFill patternType="solid">
          <bgColor rgb="FFFFFF00"/>
        </patternFill>
      </fill>
    </dxf>
  </rfmt>
  <rcc rId="1651" sId="1" numFmtId="4">
    <oc r="E115">
      <v>2319.7000000000003</v>
    </oc>
    <nc r="E115">
      <v>3776.9</v>
    </nc>
  </rcc>
  <rcc rId="1652" sId="1" numFmtId="4">
    <oc r="E80">
      <v>12027.800000000005</v>
    </oc>
    <nc r="E80">
      <f>+E81</f>
    </nc>
  </rcc>
  <rcc rId="1653" sId="1" numFmtId="4">
    <oc r="F80">
      <v>29645.7</v>
    </oc>
    <nc r="F80">
      <f>+F81</f>
    </nc>
  </rcc>
  <rcc rId="1654" sId="1">
    <oc r="G80">
      <f>+G81</f>
    </oc>
    <nc r="G80">
      <f>+G81</f>
    </nc>
  </rcc>
  <rcc rId="1655" sId="1">
    <oc r="E87">
      <f>115+100+60</f>
    </oc>
    <nc r="E87">
      <f>115+100+90+34926.3+60</f>
    </nc>
  </rcc>
  <rcc rId="1656" sId="1" numFmtId="4">
    <oc r="E94">
      <v>1603.7</v>
    </oc>
    <nc r="E94">
      <f>+E95</f>
    </nc>
  </rcc>
  <rcc rId="1657" sId="1" numFmtId="4">
    <oc r="F94">
      <v>1091.9000000000001</v>
    </oc>
    <nc r="F94">
      <f>+F95</f>
    </nc>
  </rcc>
  <rcc rId="1658" sId="1" odxf="1" s="1" dxf="1" numFmtId="4">
    <oc r="G94">
      <v>1091.9000000000001</v>
    </oc>
    <nc r="G94">
      <f>+G95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659" sId="1" numFmtId="4">
    <oc r="E72">
      <v>10</v>
    </oc>
    <nc r="E72">
      <v>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73">
    <dxf>
      <fill>
        <patternFill patternType="solid">
          <bgColor theme="9" tint="0.79998168889431442"/>
        </patternFill>
      </fill>
    </dxf>
  </rfmt>
  <rfmt sheetId="1" sqref="E78">
    <dxf>
      <fill>
        <patternFill patternType="solid">
          <bgColor theme="9" tint="0.79998168889431442"/>
        </patternFill>
      </fill>
    </dxf>
  </rfmt>
  <rfmt sheetId="1" sqref="E80">
    <dxf>
      <fill>
        <patternFill patternType="solid">
          <bgColor theme="9" tint="0.79998168889431442"/>
        </patternFill>
      </fill>
    </dxf>
  </rfmt>
  <rfmt sheetId="1" sqref="E82">
    <dxf>
      <fill>
        <patternFill patternType="solid">
          <bgColor theme="9" tint="0.79998168889431442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" sId="1" numFmtId="4">
    <oc r="F33">
      <f>19369.3+35500+6000</f>
    </oc>
    <nc r="F33">
      <v>60869.3</v>
    </nc>
  </rcc>
  <rcc rId="899" sId="1" numFmtId="4">
    <oc r="E32">
      <f>342930+32926.3+70.6+94.2</f>
    </oc>
    <nc r="E32">
      <f>376021.1+79.2</f>
    </nc>
  </rcc>
  <rcc rId="900" sId="1" numFmtId="4">
    <oc r="E33">
      <f>25797.3+1122+22666.9+217.2</f>
    </oc>
    <nc r="E33">
      <f>49803.4+106.6</f>
    </nc>
  </rcc>
  <rcc rId="901" sId="1">
    <oc r="E34">
      <v>1000</v>
    </oc>
    <nc r="E34">
      <f>1000+1092.9+559.3</f>
    </nc>
  </rcc>
  <rfmt sheetId="1" sqref="E32:E34" start="0" length="2147483647">
    <dxf>
      <font>
        <color rgb="FFFF0000"/>
      </font>
    </dxf>
  </rfmt>
  <rfmt sheetId="1" sqref="E84" start="0" length="2147483647">
    <dxf>
      <font>
        <color rgb="FFFF0000"/>
      </font>
    </dxf>
  </rfmt>
  <rcc rId="902" sId="1" numFmtId="4">
    <oc r="F84">
      <f>13025.6+210.5</f>
    </oc>
    <nc r="F84">
      <v>13236.1</v>
    </nc>
  </rcc>
  <rcc rId="903" sId="1" numFmtId="4">
    <oc r="G84">
      <f>13025.6+210.5</f>
    </oc>
    <nc r="G84">
      <v>13236.1</v>
    </nc>
  </rcc>
  <rcc rId="904" sId="1" numFmtId="4">
    <oc r="E84">
      <f>13025.6+210.5-2545+10049.6-1200+30.3+61-1052.5</f>
    </oc>
    <nc r="E84">
      <f>18579.5+37.9</f>
    </nc>
  </rcc>
  <rcc rId="905" sId="1" odxf="1" dxf="1">
    <oc r="E89">
      <f>2430+1200+1030</f>
    </oc>
    <nc r="E89">
      <f>2430+1200+1030</f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06" sId="1" numFmtId="4">
    <oc r="E89">
      <f>2430+1200+1030</f>
    </oc>
    <nc r="E89">
      <f>4660+497.5</f>
    </nc>
  </rcc>
  <rcc rId="907" sId="1" numFmtId="4">
    <oc r="E103">
      <f>11307.5+1074.1</f>
    </oc>
    <nc r="E103">
      <f>12381.6+500</f>
    </nc>
  </rcc>
  <rfmt sheetId="1" sqref="E103" start="0" length="2147483647">
    <dxf>
      <font>
        <color rgb="FFFF0000"/>
      </font>
    </dxf>
  </rfmt>
  <rcc rId="908" sId="1" odxf="1" dxf="1">
    <oc r="A208" t="inlineStr">
      <is>
        <t>Осуществление дорожной деятельности в рамках реализации национального проекта "Инфраструктура для жизни" (Реконструкция ул. Краснофлотская от ул. Островского до ул. Театральная в г. Благовещенск, Амурская область)</t>
      </is>
    </oc>
    <nc r="A208" t="inlineStr">
      <is>
    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    </is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09" sId="1" numFmtId="4">
    <oc r="E239">
      <v>90217.800000000017</v>
    </oc>
    <nc r="E239">
      <f>90217.8+5894</f>
    </nc>
  </rcc>
  <rfmt sheetId="1" sqref="E239" start="0" length="2147483647">
    <dxf>
      <font>
        <color rgb="FFFF0000"/>
      </font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93">
    <dxf>
      <fill>
        <patternFill patternType="solid">
          <bgColor theme="9" tint="0.79998168889431442"/>
        </patternFill>
      </fill>
    </dxf>
  </rfmt>
  <rfmt sheetId="1" sqref="E91">
    <dxf>
      <fill>
        <patternFill patternType="solid">
          <bgColor theme="9" tint="0.79998168889431442"/>
        </patternFill>
      </fill>
    </dxf>
  </rfmt>
  <rfmt sheetId="1" sqref="E95">
    <dxf>
      <fill>
        <patternFill patternType="solid">
          <bgColor theme="9" tint="0.79998168889431442"/>
        </patternFill>
      </fill>
    </dxf>
  </rfmt>
  <rfmt sheetId="1" sqref="E97">
    <dxf>
      <fill>
        <patternFill patternType="solid">
          <bgColor theme="9" tint="0.79998168889431442"/>
        </patternFill>
      </fill>
    </dxf>
  </rfmt>
  <rfmt sheetId="1" sqref="E99">
    <dxf>
      <fill>
        <patternFill patternType="solid">
          <bgColor theme="9" tint="0.79998168889431442"/>
        </patternFill>
      </fill>
    </dxf>
  </rfmt>
  <rfmt sheetId="1" sqref="E101">
    <dxf>
      <fill>
        <patternFill patternType="solid">
          <bgColor theme="9" tint="0.79998168889431442"/>
        </patternFill>
      </fill>
    </dxf>
  </rfmt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рпр!$C$1:$C$941</formula>
    <oldFormula>рпр!$C$1:$C$941</oldFormula>
  </rdn>
  <rcv guid="{AA62EF5A-85DE-4BC8-95D5-4F54CE8CF3D6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03">
    <dxf>
      <fill>
        <patternFill patternType="solid">
          <bgColor theme="9" tint="0.79998168889431442"/>
        </patternFill>
      </fill>
    </dxf>
  </rfmt>
  <rfmt sheetId="1" sqref="E105">
    <dxf>
      <fill>
        <patternFill patternType="solid">
          <bgColor theme="9" tint="0.79998168889431442"/>
        </patternFill>
      </fill>
    </dxf>
  </rfmt>
  <rfmt sheetId="1" sqref="E107">
    <dxf>
      <fill>
        <patternFill patternType="solid">
          <bgColor theme="9" tint="0.79998168889431442"/>
        </patternFill>
      </fill>
    </dxf>
  </rfmt>
  <rfmt sheetId="1" sqref="E111">
    <dxf>
      <fill>
        <patternFill patternType="solid">
          <bgColor theme="9" tint="0.79998168889431442"/>
        </patternFill>
      </fill>
    </dxf>
  </rfmt>
  <rfmt sheetId="1" sqref="E116">
    <dxf>
      <fill>
        <patternFill patternType="solid">
          <bgColor theme="9" tint="0.79998168889431442"/>
        </patternFill>
      </fill>
    </dxf>
  </rfmt>
  <rcc rId="1662" sId="1" odxf="1" s="1" dxf="1" numFmtId="4">
    <oc r="E119">
      <v>1804.1</v>
    </oc>
    <nc r="E119">
      <f>E120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663" sId="1">
    <oc r="E86">
      <f>45+90</f>
    </oc>
    <nc r="E86">
      <f>45+60</f>
    </nc>
  </rcc>
  <rfmt sheetId="1" sqref="E73:E123">
    <dxf>
      <fill>
        <patternFill patternType="none">
          <bgColor auto="1"/>
        </patternFill>
      </fill>
    </dxf>
  </rfmt>
  <rfmt sheetId="1" sqref="E130">
    <dxf>
      <fill>
        <patternFill patternType="solid">
          <bgColor theme="9" tint="0.79998168889431442"/>
        </patternFill>
      </fill>
    </dxf>
  </rfmt>
  <rfmt sheetId="1" sqref="E134">
    <dxf>
      <fill>
        <patternFill patternType="solid">
          <bgColor theme="9" tint="0.79998168889431442"/>
        </patternFill>
      </fill>
    </dxf>
  </rfmt>
  <rfmt sheetId="1" sqref="E136">
    <dxf>
      <fill>
        <patternFill patternType="solid">
          <bgColor theme="9" tint="0.79998168889431442"/>
        </patternFill>
      </fill>
    </dxf>
  </rfmt>
  <rfmt sheetId="1" sqref="E138">
    <dxf>
      <fill>
        <patternFill patternType="solid">
          <bgColor theme="9" tint="0.79998168889431442"/>
        </patternFill>
      </fill>
    </dxf>
  </rfmt>
  <rcc rId="1664" sId="1" numFmtId="4">
    <oc r="E139">
      <v>18900.899999999998</v>
    </oc>
    <nc r="E139">
      <f>18900.9+306.4</f>
    </nc>
  </rcc>
  <rfmt sheetId="1" sqref="E139">
    <dxf>
      <fill>
        <patternFill patternType="solid">
          <bgColor theme="9" tint="0.79998168889431442"/>
        </patternFill>
      </fill>
    </dxf>
  </rfmt>
  <rrc rId="1665" sId="1" ref="A125:XFD125" action="insertRow">
    <undo index="65535" exp="area" ref3D="1" dr="$A$921:$XFD$923" dn="Z_1CA6CCC9_64EF_4CA9_9C9C_1E572976D134_.wvu.Rows" sId="1"/>
    <undo index="65535" exp="area" ref3D="1" dr="$A$916:$XFD$918" dn="Z_1CA6CCC9_64EF_4CA9_9C9C_1E572976D134_.wvu.Rows" sId="1"/>
    <undo index="65535" exp="area" ref3D="1" dr="$A$893:$XFD$913" dn="Z_1CA6CCC9_64EF_4CA9_9C9C_1E572976D134_.wvu.Rows" sId="1"/>
    <undo index="65535" exp="area" ref3D="1" dr="$A$870:$XFD$891" dn="Z_1CA6CCC9_64EF_4CA9_9C9C_1E572976D134_.wvu.Rows" sId="1"/>
    <undo index="65535" exp="area" ref3D="1" dr="$A$864:$XFD$868" dn="Z_1CA6CCC9_64EF_4CA9_9C9C_1E572976D134_.wvu.Rows" sId="1"/>
    <undo index="65535" exp="area" ref3D="1" dr="$A$832:$XFD$861" dn="Z_1CA6CCC9_64EF_4CA9_9C9C_1E572976D134_.wvu.Rows" sId="1"/>
    <undo index="65535" exp="area" ref3D="1" dr="$A$817:$XFD$830" dn="Z_1CA6CCC9_64EF_4CA9_9C9C_1E572976D134_.wvu.Rows" sId="1"/>
    <undo index="65535" exp="area" ref3D="1" dr="$A$813:$XFD$815" dn="Z_1CA6CCC9_64EF_4CA9_9C9C_1E572976D134_.wvu.Rows" sId="1"/>
    <undo index="65535" exp="area" ref3D="1" dr="$A$788:$XFD$809" dn="Z_1CA6CCC9_64EF_4CA9_9C9C_1E572976D134_.wvu.Rows" sId="1"/>
    <undo index="65535" exp="area" ref3D="1" dr="$A$767:$XFD$786" dn="Z_1CA6CCC9_64EF_4CA9_9C9C_1E572976D134_.wvu.Rows" sId="1"/>
    <undo index="65535" exp="area" ref3D="1" dr="$A$715:$XFD$764" dn="Z_1CA6CCC9_64EF_4CA9_9C9C_1E572976D134_.wvu.Rows" sId="1"/>
    <undo index="65535" exp="area" ref3D="1" dr="$A$697:$XFD$713" dn="Z_1CA6CCC9_64EF_4CA9_9C9C_1E572976D134_.wvu.Rows" sId="1"/>
    <undo index="65535" exp="area" ref3D="1" dr="$A$674:$XFD$695" dn="Z_1CA6CCC9_64EF_4CA9_9C9C_1E572976D134_.wvu.Rows" sId="1"/>
    <undo index="65535" exp="area" ref3D="1" dr="$A$609:$XFD$672" dn="Z_1CA6CCC9_64EF_4CA9_9C9C_1E572976D134_.wvu.Rows" sId="1"/>
    <undo index="65535" exp="area" ref3D="1" dr="$A$587:$XFD$607" dn="Z_1CA6CCC9_64EF_4CA9_9C9C_1E572976D134_.wvu.Rows" sId="1"/>
    <undo index="65535" exp="area" ref3D="1" dr="$A$580:$XFD$584" dn="Z_1CA6CCC9_64EF_4CA9_9C9C_1E572976D134_.wvu.Rows" sId="1"/>
    <undo index="65535" exp="area" ref3D="1" dr="$A$558:$XFD$577" dn="Z_1CA6CCC9_64EF_4CA9_9C9C_1E572976D134_.wvu.Rows" sId="1"/>
    <undo index="65535" exp="area" ref3D="1" dr="$A$473:$XFD$556" dn="Z_1CA6CCC9_64EF_4CA9_9C9C_1E572976D134_.wvu.Rows" sId="1"/>
    <undo index="65535" exp="area" ref3D="1" dr="$A$330:$XFD$471" dn="Z_1CA6CCC9_64EF_4CA9_9C9C_1E572976D134_.wvu.Rows" sId="1"/>
    <undo index="65535" exp="area" ref3D="1" dr="$A$291:$XFD$328" dn="Z_1CA6CCC9_64EF_4CA9_9C9C_1E572976D134_.wvu.Rows" sId="1"/>
    <undo index="65535" exp="area" ref3D="1" dr="$A$264:$XFD$288" dn="Z_1CA6CCC9_64EF_4CA9_9C9C_1E572976D134_.wvu.Rows" sId="1"/>
    <undo index="65535" exp="area" ref3D="1" dr="$A$167:$XFD$262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</rrc>
  <rrc rId="1666" sId="1" ref="A125:XFD125" action="insertRow">
    <undo index="65535" exp="area" ref3D="1" dr="$A$922:$XFD$924" dn="Z_1CA6CCC9_64EF_4CA9_9C9C_1E572976D134_.wvu.Rows" sId="1"/>
    <undo index="65535" exp="area" ref3D="1" dr="$A$917:$XFD$919" dn="Z_1CA6CCC9_64EF_4CA9_9C9C_1E572976D134_.wvu.Rows" sId="1"/>
    <undo index="65535" exp="area" ref3D="1" dr="$A$894:$XFD$914" dn="Z_1CA6CCC9_64EF_4CA9_9C9C_1E572976D134_.wvu.Rows" sId="1"/>
    <undo index="65535" exp="area" ref3D="1" dr="$A$871:$XFD$892" dn="Z_1CA6CCC9_64EF_4CA9_9C9C_1E572976D134_.wvu.Rows" sId="1"/>
    <undo index="65535" exp="area" ref3D="1" dr="$A$865:$XFD$869" dn="Z_1CA6CCC9_64EF_4CA9_9C9C_1E572976D134_.wvu.Rows" sId="1"/>
    <undo index="65535" exp="area" ref3D="1" dr="$A$833:$XFD$862" dn="Z_1CA6CCC9_64EF_4CA9_9C9C_1E572976D134_.wvu.Rows" sId="1"/>
    <undo index="65535" exp="area" ref3D="1" dr="$A$818:$XFD$831" dn="Z_1CA6CCC9_64EF_4CA9_9C9C_1E572976D134_.wvu.Rows" sId="1"/>
    <undo index="65535" exp="area" ref3D="1" dr="$A$814:$XFD$816" dn="Z_1CA6CCC9_64EF_4CA9_9C9C_1E572976D134_.wvu.Rows" sId="1"/>
    <undo index="65535" exp="area" ref3D="1" dr="$A$789:$XFD$810" dn="Z_1CA6CCC9_64EF_4CA9_9C9C_1E572976D134_.wvu.Rows" sId="1"/>
    <undo index="65535" exp="area" ref3D="1" dr="$A$768:$XFD$787" dn="Z_1CA6CCC9_64EF_4CA9_9C9C_1E572976D134_.wvu.Rows" sId="1"/>
    <undo index="65535" exp="area" ref3D="1" dr="$A$716:$XFD$765" dn="Z_1CA6CCC9_64EF_4CA9_9C9C_1E572976D134_.wvu.Rows" sId="1"/>
    <undo index="65535" exp="area" ref3D="1" dr="$A$698:$XFD$714" dn="Z_1CA6CCC9_64EF_4CA9_9C9C_1E572976D134_.wvu.Rows" sId="1"/>
    <undo index="65535" exp="area" ref3D="1" dr="$A$675:$XFD$696" dn="Z_1CA6CCC9_64EF_4CA9_9C9C_1E572976D134_.wvu.Rows" sId="1"/>
    <undo index="65535" exp="area" ref3D="1" dr="$A$610:$XFD$673" dn="Z_1CA6CCC9_64EF_4CA9_9C9C_1E572976D134_.wvu.Rows" sId="1"/>
    <undo index="65535" exp="area" ref3D="1" dr="$A$588:$XFD$608" dn="Z_1CA6CCC9_64EF_4CA9_9C9C_1E572976D134_.wvu.Rows" sId="1"/>
    <undo index="65535" exp="area" ref3D="1" dr="$A$581:$XFD$585" dn="Z_1CA6CCC9_64EF_4CA9_9C9C_1E572976D134_.wvu.Rows" sId="1"/>
    <undo index="65535" exp="area" ref3D="1" dr="$A$559:$XFD$578" dn="Z_1CA6CCC9_64EF_4CA9_9C9C_1E572976D134_.wvu.Rows" sId="1"/>
    <undo index="65535" exp="area" ref3D="1" dr="$A$474:$XFD$557" dn="Z_1CA6CCC9_64EF_4CA9_9C9C_1E572976D134_.wvu.Rows" sId="1"/>
    <undo index="65535" exp="area" ref3D="1" dr="$A$331:$XFD$472" dn="Z_1CA6CCC9_64EF_4CA9_9C9C_1E572976D134_.wvu.Rows" sId="1"/>
    <undo index="65535" exp="area" ref3D="1" dr="$A$292:$XFD$329" dn="Z_1CA6CCC9_64EF_4CA9_9C9C_1E572976D134_.wvu.Rows" sId="1"/>
    <undo index="65535" exp="area" ref3D="1" dr="$A$265:$XFD$289" dn="Z_1CA6CCC9_64EF_4CA9_9C9C_1E572976D134_.wvu.Rows" sId="1"/>
    <undo index="65535" exp="area" ref3D="1" dr="$A$168:$XFD$263" dn="Z_1CA6CCC9_64EF_4CA9_9C9C_1E572976D134_.wvu.Rows" sId="1"/>
    <undo index="65535" exp="area" ref3D="1" dr="$A$156:$XFD$166" dn="Z_1CA6CCC9_64EF_4CA9_9C9C_1E572976D134_.wvu.Rows" sId="1"/>
    <undo index="65535" exp="area" ref3D="1" dr="$A$146:$XFD$154" dn="Z_1CA6CCC9_64EF_4CA9_9C9C_1E572976D134_.wvu.Rows" sId="1"/>
    <undo index="65535" exp="area" ref3D="1" dr="$A$126:$XFD$143" dn="Z_1CA6CCC9_64EF_4CA9_9C9C_1E572976D134_.wvu.Rows" sId="1"/>
  </rrc>
  <rrc rId="1667" sId="1" ref="A125:XFD125" action="insertRow">
    <undo index="65535" exp="area" ref3D="1" dr="$A$923:$XFD$925" dn="Z_1CA6CCC9_64EF_4CA9_9C9C_1E572976D134_.wvu.Rows" sId="1"/>
    <undo index="65535" exp="area" ref3D="1" dr="$A$918:$XFD$920" dn="Z_1CA6CCC9_64EF_4CA9_9C9C_1E572976D134_.wvu.Rows" sId="1"/>
    <undo index="65535" exp="area" ref3D="1" dr="$A$895:$XFD$915" dn="Z_1CA6CCC9_64EF_4CA9_9C9C_1E572976D134_.wvu.Rows" sId="1"/>
    <undo index="65535" exp="area" ref3D="1" dr="$A$872:$XFD$893" dn="Z_1CA6CCC9_64EF_4CA9_9C9C_1E572976D134_.wvu.Rows" sId="1"/>
    <undo index="65535" exp="area" ref3D="1" dr="$A$866:$XFD$870" dn="Z_1CA6CCC9_64EF_4CA9_9C9C_1E572976D134_.wvu.Rows" sId="1"/>
    <undo index="65535" exp="area" ref3D="1" dr="$A$834:$XFD$863" dn="Z_1CA6CCC9_64EF_4CA9_9C9C_1E572976D134_.wvu.Rows" sId="1"/>
    <undo index="65535" exp="area" ref3D="1" dr="$A$819:$XFD$832" dn="Z_1CA6CCC9_64EF_4CA9_9C9C_1E572976D134_.wvu.Rows" sId="1"/>
    <undo index="65535" exp="area" ref3D="1" dr="$A$815:$XFD$817" dn="Z_1CA6CCC9_64EF_4CA9_9C9C_1E572976D134_.wvu.Rows" sId="1"/>
    <undo index="65535" exp="area" ref3D="1" dr="$A$790:$XFD$811" dn="Z_1CA6CCC9_64EF_4CA9_9C9C_1E572976D134_.wvu.Rows" sId="1"/>
    <undo index="65535" exp="area" ref3D="1" dr="$A$769:$XFD$788" dn="Z_1CA6CCC9_64EF_4CA9_9C9C_1E572976D134_.wvu.Rows" sId="1"/>
    <undo index="65535" exp="area" ref3D="1" dr="$A$717:$XFD$766" dn="Z_1CA6CCC9_64EF_4CA9_9C9C_1E572976D134_.wvu.Rows" sId="1"/>
    <undo index="65535" exp="area" ref3D="1" dr="$A$699:$XFD$715" dn="Z_1CA6CCC9_64EF_4CA9_9C9C_1E572976D134_.wvu.Rows" sId="1"/>
    <undo index="65535" exp="area" ref3D="1" dr="$A$676:$XFD$697" dn="Z_1CA6CCC9_64EF_4CA9_9C9C_1E572976D134_.wvu.Rows" sId="1"/>
    <undo index="65535" exp="area" ref3D="1" dr="$A$611:$XFD$674" dn="Z_1CA6CCC9_64EF_4CA9_9C9C_1E572976D134_.wvu.Rows" sId="1"/>
    <undo index="65535" exp="area" ref3D="1" dr="$A$589:$XFD$609" dn="Z_1CA6CCC9_64EF_4CA9_9C9C_1E572976D134_.wvu.Rows" sId="1"/>
    <undo index="65535" exp="area" ref3D="1" dr="$A$582:$XFD$586" dn="Z_1CA6CCC9_64EF_4CA9_9C9C_1E572976D134_.wvu.Rows" sId="1"/>
    <undo index="65535" exp="area" ref3D="1" dr="$A$560:$XFD$579" dn="Z_1CA6CCC9_64EF_4CA9_9C9C_1E572976D134_.wvu.Rows" sId="1"/>
    <undo index="65535" exp="area" ref3D="1" dr="$A$475:$XFD$558" dn="Z_1CA6CCC9_64EF_4CA9_9C9C_1E572976D134_.wvu.Rows" sId="1"/>
    <undo index="65535" exp="area" ref3D="1" dr="$A$332:$XFD$473" dn="Z_1CA6CCC9_64EF_4CA9_9C9C_1E572976D134_.wvu.Rows" sId="1"/>
    <undo index="65535" exp="area" ref3D="1" dr="$A$293:$XFD$330" dn="Z_1CA6CCC9_64EF_4CA9_9C9C_1E572976D134_.wvu.Rows" sId="1"/>
    <undo index="65535" exp="area" ref3D="1" dr="$A$266:$XFD$290" dn="Z_1CA6CCC9_64EF_4CA9_9C9C_1E572976D134_.wvu.Rows" sId="1"/>
    <undo index="65535" exp="area" ref3D="1" dr="$A$169:$XFD$264" dn="Z_1CA6CCC9_64EF_4CA9_9C9C_1E572976D134_.wvu.Rows" sId="1"/>
    <undo index="65535" exp="area" ref3D="1" dr="$A$157:$XFD$167" dn="Z_1CA6CCC9_64EF_4CA9_9C9C_1E572976D134_.wvu.Rows" sId="1"/>
    <undo index="65535" exp="area" ref3D="1" dr="$A$147:$XFD$155" dn="Z_1CA6CCC9_64EF_4CA9_9C9C_1E572976D134_.wvu.Rows" sId="1"/>
    <undo index="65535" exp="area" ref3D="1" dr="$A$127:$XFD$144" dn="Z_1CA6CCC9_64EF_4CA9_9C9C_1E572976D134_.wvu.Rows" sId="1"/>
  </rrc>
  <rcc rId="1668" sId="1" odxf="1" dxf="1">
    <nc r="A125" t="inlineStr">
      <is>
        <t>Непрограммные расходы</t>
      </is>
    </nc>
    <odxf>
      <font>
        <b/>
        <sz val="12"/>
        <name val="Times New Roman"/>
        <family val="1"/>
      </font>
      <fill>
        <patternFill patternType="none">
          <bgColor indexed="65"/>
        </patternFill>
      </fill>
    </odxf>
    <n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ndxf>
  </rcc>
  <rfmt sheetId="1" sqref="A126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A127" start="0" length="0">
    <dxf>
      <font>
        <b val="0"/>
        <sz val="12"/>
        <name val="Times New Roman"/>
        <family val="1"/>
      </font>
      <alignment horizontal="general"/>
    </dxf>
  </rfmt>
  <rcc rId="1669" sId="1" odxf="1" dxf="1">
    <nc r="B125" t="inlineStr">
      <is>
        <t>0310</t>
      </is>
    </nc>
    <odxf>
      <font>
        <b/>
        <sz val="12"/>
        <name val="Times New Roman"/>
        <family val="1"/>
      </font>
      <fill>
        <patternFill patternType="none">
          <bgColor indexed="65"/>
        </patternFill>
      </fill>
    </odxf>
    <n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ndxf>
  </rcc>
  <rfmt sheetId="1" sqref="C125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D125" start="0" length="0">
    <dxf>
      <font>
        <b val="0"/>
        <sz val="12"/>
        <name val="Times New Roman"/>
        <family val="1"/>
      </font>
      <numFmt numFmtId="30" formatCode="@"/>
      <fill>
        <patternFill patternType="solid">
          <bgColor theme="4" tint="0.59999389629810485"/>
        </patternFill>
      </fill>
    </dxf>
  </rfmt>
  <rfmt sheetId="1" sqref="B126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C126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D126" start="0" length="0">
    <dxf>
      <font>
        <b val="0"/>
        <sz val="12"/>
        <name val="Times New Roman"/>
        <family val="1"/>
      </font>
      <numFmt numFmtId="30" formatCode="@"/>
      <fill>
        <patternFill patternType="solid">
          <bgColor theme="4" tint="0.59999389629810485"/>
        </patternFill>
      </fill>
    </dxf>
  </rfmt>
  <rfmt sheetId="1" sqref="B127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C127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D127" start="0" length="0">
    <dxf>
      <font>
        <b val="0"/>
        <sz val="12"/>
        <name val="Times New Roman"/>
        <family val="1"/>
      </font>
      <numFmt numFmtId="30" formatCode="@"/>
      <fill>
        <patternFill patternType="solid">
          <bgColor theme="4" tint="0.59999389629810485"/>
        </patternFill>
      </fill>
    </dxf>
  </rfmt>
  <rfmt sheetId="1" s="1" sqref="E127" start="0" length="0">
    <dxf>
      <font>
        <b val="0"/>
        <sz val="12"/>
        <color auto="1"/>
        <name val="Times New Roman"/>
        <family val="1"/>
        <scheme val="none"/>
      </font>
      <fill>
        <patternFill patternType="solid">
          <bgColor theme="5" tint="0.59999389629810485"/>
        </patternFill>
      </fill>
    </dxf>
  </rfmt>
  <rfmt sheetId="1" sqref="E127:E128">
    <dxf>
      <fill>
        <patternFill>
          <bgColor theme="0"/>
        </patternFill>
      </fill>
    </dxf>
  </rfmt>
  <rcc rId="1670" sId="1" odxf="1" s="1" dxf="1">
    <nc r="E126">
      <f>+E127</f>
    </nc>
    <ndxf>
      <font>
        <b val="0"/>
        <sz val="12"/>
        <color auto="1"/>
        <name val="Times New Roman"/>
        <family val="1"/>
        <scheme val="none"/>
      </font>
    </ndxf>
  </rcc>
  <rfmt sheetId="1" s="1" sqref="F126" start="0" length="0">
    <dxf>
      <font>
        <b val="0"/>
        <sz val="12"/>
        <color auto="1"/>
        <name val="Times New Roman"/>
        <family val="1"/>
        <scheme val="none"/>
      </font>
    </dxf>
  </rfmt>
  <rfmt sheetId="1" sqref="G126" start="0" length="0">
    <dxf>
      <font>
        <b val="0"/>
        <sz val="12"/>
        <name val="Times New Roman"/>
        <family val="1"/>
      </font>
    </dxf>
  </rfmt>
  <rcc rId="1671" sId="1" odxf="1" dxf="1" numFmtId="4">
    <nc r="E127">
      <v>2535.6</v>
    </nc>
    <ndxf>
      <fill>
        <patternFill patternType="none">
          <bgColor indexed="65"/>
        </patternFill>
      </fill>
    </ndxf>
  </rcc>
  <rfmt sheetId="1" s="1" sqref="F127" start="0" length="0">
    <dxf>
      <font>
        <b val="0"/>
        <sz val="12"/>
        <color auto="1"/>
        <name val="Times New Roman"/>
        <family val="1"/>
        <scheme val="none"/>
      </font>
    </dxf>
  </rfmt>
  <rfmt sheetId="1" sqref="G127" start="0" length="0">
    <dxf>
      <font>
        <b val="0"/>
        <sz val="12"/>
        <name val="Times New Roman"/>
        <family val="1"/>
      </font>
    </dxf>
  </rfmt>
  <rcc rId="1672" sId="1" odxf="1" dxf="1">
    <oc r="E128">
      <f>E129</f>
    </oc>
    <nc r="E128">
      <f>E129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3" sId="1">
    <oc r="F128">
      <f>F129</f>
    </oc>
    <nc r="F128">
      <f>F129</f>
    </nc>
  </rcc>
  <rcc rId="1674" sId="1">
    <oc r="G128">
      <f>G129</f>
    </oc>
    <nc r="G128">
      <f>G129</f>
    </nc>
  </rcc>
  <rcc rId="1675" sId="1" odxf="1" s="1" dxf="1">
    <nc r="E125">
      <f>+E126</f>
    </nc>
    <ndxf>
      <font>
        <b val="0"/>
        <sz val="12"/>
        <color auto="1"/>
        <name val="Times New Roman"/>
        <family val="1"/>
        <scheme val="none"/>
      </font>
    </ndxf>
  </rcc>
  <rfmt sheetId="1" s="1" sqref="F125" start="0" length="0">
    <dxf>
      <font>
        <b val="0"/>
        <sz val="12"/>
        <color auto="1"/>
        <name val="Times New Roman"/>
        <family val="1"/>
        <scheme val="none"/>
      </font>
    </dxf>
  </rfmt>
  <rfmt sheetId="1" sqref="G125" start="0" length="0">
    <dxf>
      <font>
        <b val="0"/>
        <sz val="12"/>
        <name val="Times New Roman"/>
        <family val="1"/>
      </font>
    </dxf>
  </rfmt>
  <rcc rId="1676" sId="1">
    <nc r="F125">
      <f>+F126</f>
    </nc>
  </rcc>
  <rcc rId="1677" sId="1">
    <nc r="G125">
      <f>+G126</f>
    </nc>
  </rcc>
  <rcc rId="1678" sId="1">
    <nc r="F126">
      <f>+F127</f>
    </nc>
  </rcc>
  <rcc rId="1679" sId="1">
    <nc r="G126">
      <f>+G127</f>
    </nc>
  </rcc>
  <rfmt sheetId="1" sqref="A125:D127">
    <dxf>
      <fill>
        <patternFill>
          <bgColor theme="0"/>
        </patternFill>
      </fill>
    </dxf>
  </rfmt>
  <rfmt sheetId="1" s="1" sqref="C124" start="0" length="0">
    <dxf>
      <font>
        <b val="0"/>
        <sz val="12"/>
        <color auto="1"/>
        <name val="Times New Roman"/>
        <family val="1"/>
        <scheme val="none"/>
      </font>
      <numFmt numFmtId="0" formatCode="General"/>
    </dxf>
  </rfmt>
  <rfmt sheetId="1" s="1" sqref="D124" start="0" length="0">
    <dxf>
      <font>
        <b val="0"/>
        <sz val="12"/>
        <color auto="1"/>
        <name val="Times New Roman"/>
        <family val="1"/>
        <scheme val="none"/>
      </font>
    </dxf>
  </rfmt>
  <rcc rId="1680" sId="1" odxf="1" s="1" dxf="1">
    <nc r="C125" t="inlineStr">
      <is>
        <t>00 0 00 00000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fmt sheetId="1" s="1" sqref="D125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cc rId="1681" sId="1" odxf="1" s="1" dxf="1">
    <nc r="C126" t="inlineStr">
      <is>
        <t>00 0 00 20010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fmt sheetId="1" s="1" sqref="D126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cc rId="1682" sId="1" odxf="1" s="1" dxf="1">
    <nc r="C127" t="inlineStr">
      <is>
        <t>00 0 00 20010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cc rId="1683" sId="1" odxf="1" s="1" dxf="1">
    <nc r="D127" t="inlineStr">
      <is>
        <t>600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fmt sheetId="1" s="1" sqref="C128" start="0" length="0">
    <dxf>
      <numFmt numFmtId="0" formatCode="General"/>
    </dxf>
  </rfmt>
  <rfmt sheetId="1" s="1" sqref="D128" start="0" length="0">
    <dxf/>
  </rfmt>
  <rfmt sheetId="1" s="1" sqref="C129" start="0" length="0">
    <dxf>
      <numFmt numFmtId="0" formatCode="General"/>
    </dxf>
  </rfmt>
  <rfmt sheetId="1" s="1" sqref="D129" start="0" length="0">
    <dxf/>
  </rfmt>
  <rfmt sheetId="1" s="1" sqref="C130" start="0" length="0">
    <dxf>
      <numFmt numFmtId="0" formatCode="General"/>
    </dxf>
  </rfmt>
  <rfmt sheetId="1" s="1" sqref="D130" start="0" length="0">
    <dxf/>
  </rfmt>
  <rcc rId="1684" sId="1" odxf="1" dxf="1">
    <nc r="A126" t="inlineStr">
      <is>
        <t>Резервный фонд администрации города Благовещенска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685" sId="1" odxf="1" dxf="1">
    <nc r="B126" t="inlineStr">
      <is>
        <t>0310</t>
      </is>
    </nc>
    <ndxf>
      <font>
        <sz val="12"/>
        <name val="Times New Roman"/>
        <family val="1"/>
      </font>
      <numFmt numFmtId="1" formatCode="0"/>
      <fill>
        <patternFill patternType="none">
          <bgColor indexed="65"/>
        </patternFill>
      </fill>
      <alignment horizontal="general" wrapText="1"/>
    </ndxf>
  </rcc>
  <rcc rId="1686" sId="1" odxf="1" dxf="1">
    <nc r="A127" t="inlineStr">
      <is>
        <t>Предоставление субсидий бюджетным, автономным учреждениям и иным некоммерческим организациям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B127" t="inlineStr">
      <is>
        <t>0310</t>
      </is>
    </nc>
    <ndxf>
      <font>
        <sz val="12"/>
        <name val="Times New Roman"/>
        <family val="1"/>
      </font>
      <numFmt numFmtId="1" formatCode="0"/>
      <fill>
        <patternFill patternType="none">
          <bgColor indexed="65"/>
        </patternFill>
      </fill>
      <alignment horizontal="general" wrapText="1"/>
    </ndxf>
  </rcc>
  <rfmt sheetId="1" sqref="A128" start="0" length="0">
    <dxf>
      <numFmt numFmtId="1" formatCode="0"/>
      <alignment horizontal="general"/>
    </dxf>
  </rfmt>
  <rfmt sheetId="1" sqref="B128" start="0" length="0">
    <dxf>
      <numFmt numFmtId="1" formatCode="0"/>
      <alignment horizontal="general" wrapText="1"/>
    </dxf>
  </rfmt>
  <rfmt sheetId="1" sqref="B126:B128">
    <dxf>
      <alignment horizontal="center"/>
    </dxf>
  </rfmt>
  <rrc rId="1688" sId="1" ref="A125:XFD125" action="deleteRow">
    <undo index="65535" exp="area" ref3D="1" dr="$A$924:$XFD$926" dn="Z_1CA6CCC9_64EF_4CA9_9C9C_1E572976D134_.wvu.Rows" sId="1"/>
    <undo index="65535" exp="area" ref3D="1" dr="$A$919:$XFD$921" dn="Z_1CA6CCC9_64EF_4CA9_9C9C_1E572976D134_.wvu.Rows" sId="1"/>
    <undo index="65535" exp="area" ref3D="1" dr="$A$896:$XFD$916" dn="Z_1CA6CCC9_64EF_4CA9_9C9C_1E572976D134_.wvu.Rows" sId="1"/>
    <undo index="65535" exp="area" ref3D="1" dr="$A$873:$XFD$894" dn="Z_1CA6CCC9_64EF_4CA9_9C9C_1E572976D134_.wvu.Rows" sId="1"/>
    <undo index="65535" exp="area" ref3D="1" dr="$A$867:$XFD$871" dn="Z_1CA6CCC9_64EF_4CA9_9C9C_1E572976D134_.wvu.Rows" sId="1"/>
    <undo index="65535" exp="area" ref3D="1" dr="$A$835:$XFD$864" dn="Z_1CA6CCC9_64EF_4CA9_9C9C_1E572976D134_.wvu.Rows" sId="1"/>
    <undo index="65535" exp="area" ref3D="1" dr="$A$820:$XFD$833" dn="Z_1CA6CCC9_64EF_4CA9_9C9C_1E572976D134_.wvu.Rows" sId="1"/>
    <undo index="65535" exp="area" ref3D="1" dr="$A$816:$XFD$818" dn="Z_1CA6CCC9_64EF_4CA9_9C9C_1E572976D134_.wvu.Rows" sId="1"/>
    <undo index="65535" exp="area" ref3D="1" dr="$A$791:$XFD$812" dn="Z_1CA6CCC9_64EF_4CA9_9C9C_1E572976D134_.wvu.Rows" sId="1"/>
    <undo index="65535" exp="area" ref3D="1" dr="$A$770:$XFD$789" dn="Z_1CA6CCC9_64EF_4CA9_9C9C_1E572976D134_.wvu.Rows" sId="1"/>
    <undo index="65535" exp="area" ref3D="1" dr="$A$718:$XFD$767" dn="Z_1CA6CCC9_64EF_4CA9_9C9C_1E572976D134_.wvu.Rows" sId="1"/>
    <undo index="65535" exp="area" ref3D="1" dr="$A$700:$XFD$716" dn="Z_1CA6CCC9_64EF_4CA9_9C9C_1E572976D134_.wvu.Rows" sId="1"/>
    <undo index="65535" exp="area" ref3D="1" dr="$A$677:$XFD$698" dn="Z_1CA6CCC9_64EF_4CA9_9C9C_1E572976D134_.wvu.Rows" sId="1"/>
    <undo index="65535" exp="area" ref3D="1" dr="$A$612:$XFD$675" dn="Z_1CA6CCC9_64EF_4CA9_9C9C_1E572976D134_.wvu.Rows" sId="1"/>
    <undo index="65535" exp="area" ref3D="1" dr="$A$590:$XFD$610" dn="Z_1CA6CCC9_64EF_4CA9_9C9C_1E572976D134_.wvu.Rows" sId="1"/>
    <undo index="65535" exp="area" ref3D="1" dr="$A$583:$XFD$587" dn="Z_1CA6CCC9_64EF_4CA9_9C9C_1E572976D134_.wvu.Rows" sId="1"/>
    <undo index="65535" exp="area" ref3D="1" dr="$A$561:$XFD$580" dn="Z_1CA6CCC9_64EF_4CA9_9C9C_1E572976D134_.wvu.Rows" sId="1"/>
    <undo index="65535" exp="area" ref3D="1" dr="$A$476:$XFD$559" dn="Z_1CA6CCC9_64EF_4CA9_9C9C_1E572976D134_.wvu.Rows" sId="1"/>
    <undo index="65535" exp="area" ref3D="1" dr="$A$333:$XFD$474" dn="Z_1CA6CCC9_64EF_4CA9_9C9C_1E572976D134_.wvu.Rows" sId="1"/>
    <undo index="65535" exp="area" ref3D="1" dr="$A$294:$XFD$331" dn="Z_1CA6CCC9_64EF_4CA9_9C9C_1E572976D134_.wvu.Rows" sId="1"/>
    <undo index="65535" exp="area" ref3D="1" dr="$A$267:$XFD$291" dn="Z_1CA6CCC9_64EF_4CA9_9C9C_1E572976D134_.wvu.Rows" sId="1"/>
    <undo index="65535" exp="area" ref3D="1" dr="$A$170:$XFD$265" dn="Z_1CA6CCC9_64EF_4CA9_9C9C_1E572976D134_.wvu.Rows" sId="1"/>
    <undo index="65535" exp="area" ref3D="1" dr="$A$158:$XFD$168" dn="Z_1CA6CCC9_64EF_4CA9_9C9C_1E572976D134_.wvu.Rows" sId="1"/>
    <undo index="65535" exp="area" ref3D="1" dr="$A$148:$XFD$156" dn="Z_1CA6CCC9_64EF_4CA9_9C9C_1E572976D134_.wvu.Rows" sId="1"/>
    <undo index="65535" exp="area" ref3D="1" dr="$A$128:$XFD$145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Непрограммные расходы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0"/>
          </patternFill>
        </fill>
        <alignment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/>
      </ndxf>
    </rcc>
    <rcc rId="0" sId="1" dxf="1">
      <nc r="C125" t="inlineStr">
        <is>
          <t>00 0 00 00000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fmt sheetId="1" sqref="D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125">
        <f>+E126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25">
        <f>+F126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125">
        <f>+G126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689" sId="1" ref="A125:XFD125" action="deleteRow">
    <undo index="65535" exp="area" ref3D="1" dr="$A$923:$XFD$925" dn="Z_1CA6CCC9_64EF_4CA9_9C9C_1E572976D134_.wvu.Rows" sId="1"/>
    <undo index="65535" exp="area" ref3D="1" dr="$A$918:$XFD$920" dn="Z_1CA6CCC9_64EF_4CA9_9C9C_1E572976D134_.wvu.Rows" sId="1"/>
    <undo index="65535" exp="area" ref3D="1" dr="$A$895:$XFD$915" dn="Z_1CA6CCC9_64EF_4CA9_9C9C_1E572976D134_.wvu.Rows" sId="1"/>
    <undo index="65535" exp="area" ref3D="1" dr="$A$872:$XFD$893" dn="Z_1CA6CCC9_64EF_4CA9_9C9C_1E572976D134_.wvu.Rows" sId="1"/>
    <undo index="65535" exp="area" ref3D="1" dr="$A$866:$XFD$870" dn="Z_1CA6CCC9_64EF_4CA9_9C9C_1E572976D134_.wvu.Rows" sId="1"/>
    <undo index="65535" exp="area" ref3D="1" dr="$A$834:$XFD$863" dn="Z_1CA6CCC9_64EF_4CA9_9C9C_1E572976D134_.wvu.Rows" sId="1"/>
    <undo index="65535" exp="area" ref3D="1" dr="$A$819:$XFD$832" dn="Z_1CA6CCC9_64EF_4CA9_9C9C_1E572976D134_.wvu.Rows" sId="1"/>
    <undo index="65535" exp="area" ref3D="1" dr="$A$815:$XFD$817" dn="Z_1CA6CCC9_64EF_4CA9_9C9C_1E572976D134_.wvu.Rows" sId="1"/>
    <undo index="65535" exp="area" ref3D="1" dr="$A$790:$XFD$811" dn="Z_1CA6CCC9_64EF_4CA9_9C9C_1E572976D134_.wvu.Rows" sId="1"/>
    <undo index="65535" exp="area" ref3D="1" dr="$A$769:$XFD$788" dn="Z_1CA6CCC9_64EF_4CA9_9C9C_1E572976D134_.wvu.Rows" sId="1"/>
    <undo index="65535" exp="area" ref3D="1" dr="$A$717:$XFD$766" dn="Z_1CA6CCC9_64EF_4CA9_9C9C_1E572976D134_.wvu.Rows" sId="1"/>
    <undo index="65535" exp="area" ref3D="1" dr="$A$699:$XFD$715" dn="Z_1CA6CCC9_64EF_4CA9_9C9C_1E572976D134_.wvu.Rows" sId="1"/>
    <undo index="65535" exp="area" ref3D="1" dr="$A$676:$XFD$697" dn="Z_1CA6CCC9_64EF_4CA9_9C9C_1E572976D134_.wvu.Rows" sId="1"/>
    <undo index="65535" exp="area" ref3D="1" dr="$A$611:$XFD$674" dn="Z_1CA6CCC9_64EF_4CA9_9C9C_1E572976D134_.wvu.Rows" sId="1"/>
    <undo index="65535" exp="area" ref3D="1" dr="$A$589:$XFD$609" dn="Z_1CA6CCC9_64EF_4CA9_9C9C_1E572976D134_.wvu.Rows" sId="1"/>
    <undo index="65535" exp="area" ref3D="1" dr="$A$582:$XFD$586" dn="Z_1CA6CCC9_64EF_4CA9_9C9C_1E572976D134_.wvu.Rows" sId="1"/>
    <undo index="65535" exp="area" ref3D="1" dr="$A$560:$XFD$579" dn="Z_1CA6CCC9_64EF_4CA9_9C9C_1E572976D134_.wvu.Rows" sId="1"/>
    <undo index="65535" exp="area" ref3D="1" dr="$A$475:$XFD$558" dn="Z_1CA6CCC9_64EF_4CA9_9C9C_1E572976D134_.wvu.Rows" sId="1"/>
    <undo index="65535" exp="area" ref3D="1" dr="$A$332:$XFD$473" dn="Z_1CA6CCC9_64EF_4CA9_9C9C_1E572976D134_.wvu.Rows" sId="1"/>
    <undo index="65535" exp="area" ref3D="1" dr="$A$293:$XFD$330" dn="Z_1CA6CCC9_64EF_4CA9_9C9C_1E572976D134_.wvu.Rows" sId="1"/>
    <undo index="65535" exp="area" ref3D="1" dr="$A$266:$XFD$290" dn="Z_1CA6CCC9_64EF_4CA9_9C9C_1E572976D134_.wvu.Rows" sId="1"/>
    <undo index="65535" exp="area" ref3D="1" dr="$A$169:$XFD$264" dn="Z_1CA6CCC9_64EF_4CA9_9C9C_1E572976D134_.wvu.Rows" sId="1"/>
    <undo index="65535" exp="area" ref3D="1" dr="$A$157:$XFD$167" dn="Z_1CA6CCC9_64EF_4CA9_9C9C_1E572976D134_.wvu.Rows" sId="1"/>
    <undo index="65535" exp="area" ref3D="1" dr="$A$147:$XFD$155" dn="Z_1CA6CCC9_64EF_4CA9_9C9C_1E572976D134_.wvu.Rows" sId="1"/>
    <undo index="65535" exp="area" ref3D="1" dr="$A$127:$XFD$144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Резервный фонд администрации города Благовещенска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center" wrapText="1"/>
      </ndxf>
    </rcc>
    <rcc rId="0" sId="1" dxf="1">
      <nc r="C125" t="inlineStr">
        <is>
          <t>00 0 00 20010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fmt sheetId="1" sqref="D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125">
        <f>+E126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25">
        <f>+F126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125">
        <f>+G126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690" sId="1" ref="A125:XFD125" action="deleteRow">
    <undo index="65535" exp="area" ref3D="1" dr="$A$922:$XFD$924" dn="Z_1CA6CCC9_64EF_4CA9_9C9C_1E572976D134_.wvu.Rows" sId="1"/>
    <undo index="65535" exp="area" ref3D="1" dr="$A$917:$XFD$919" dn="Z_1CA6CCC9_64EF_4CA9_9C9C_1E572976D134_.wvu.Rows" sId="1"/>
    <undo index="65535" exp="area" ref3D="1" dr="$A$894:$XFD$914" dn="Z_1CA6CCC9_64EF_4CA9_9C9C_1E572976D134_.wvu.Rows" sId="1"/>
    <undo index="65535" exp="area" ref3D="1" dr="$A$871:$XFD$892" dn="Z_1CA6CCC9_64EF_4CA9_9C9C_1E572976D134_.wvu.Rows" sId="1"/>
    <undo index="65535" exp="area" ref3D="1" dr="$A$865:$XFD$869" dn="Z_1CA6CCC9_64EF_4CA9_9C9C_1E572976D134_.wvu.Rows" sId="1"/>
    <undo index="65535" exp="area" ref3D="1" dr="$A$833:$XFD$862" dn="Z_1CA6CCC9_64EF_4CA9_9C9C_1E572976D134_.wvu.Rows" sId="1"/>
    <undo index="65535" exp="area" ref3D="1" dr="$A$818:$XFD$831" dn="Z_1CA6CCC9_64EF_4CA9_9C9C_1E572976D134_.wvu.Rows" sId="1"/>
    <undo index="65535" exp="area" ref3D="1" dr="$A$814:$XFD$816" dn="Z_1CA6CCC9_64EF_4CA9_9C9C_1E572976D134_.wvu.Rows" sId="1"/>
    <undo index="65535" exp="area" ref3D="1" dr="$A$789:$XFD$810" dn="Z_1CA6CCC9_64EF_4CA9_9C9C_1E572976D134_.wvu.Rows" sId="1"/>
    <undo index="65535" exp="area" ref3D="1" dr="$A$768:$XFD$787" dn="Z_1CA6CCC9_64EF_4CA9_9C9C_1E572976D134_.wvu.Rows" sId="1"/>
    <undo index="65535" exp="area" ref3D="1" dr="$A$716:$XFD$765" dn="Z_1CA6CCC9_64EF_4CA9_9C9C_1E572976D134_.wvu.Rows" sId="1"/>
    <undo index="65535" exp="area" ref3D="1" dr="$A$698:$XFD$714" dn="Z_1CA6CCC9_64EF_4CA9_9C9C_1E572976D134_.wvu.Rows" sId="1"/>
    <undo index="65535" exp="area" ref3D="1" dr="$A$675:$XFD$696" dn="Z_1CA6CCC9_64EF_4CA9_9C9C_1E572976D134_.wvu.Rows" sId="1"/>
    <undo index="65535" exp="area" ref3D="1" dr="$A$610:$XFD$673" dn="Z_1CA6CCC9_64EF_4CA9_9C9C_1E572976D134_.wvu.Rows" sId="1"/>
    <undo index="65535" exp="area" ref3D="1" dr="$A$588:$XFD$608" dn="Z_1CA6CCC9_64EF_4CA9_9C9C_1E572976D134_.wvu.Rows" sId="1"/>
    <undo index="65535" exp="area" ref3D="1" dr="$A$581:$XFD$585" dn="Z_1CA6CCC9_64EF_4CA9_9C9C_1E572976D134_.wvu.Rows" sId="1"/>
    <undo index="65535" exp="area" ref3D="1" dr="$A$559:$XFD$578" dn="Z_1CA6CCC9_64EF_4CA9_9C9C_1E572976D134_.wvu.Rows" sId="1"/>
    <undo index="65535" exp="area" ref3D="1" dr="$A$474:$XFD$557" dn="Z_1CA6CCC9_64EF_4CA9_9C9C_1E572976D134_.wvu.Rows" sId="1"/>
    <undo index="65535" exp="area" ref3D="1" dr="$A$331:$XFD$472" dn="Z_1CA6CCC9_64EF_4CA9_9C9C_1E572976D134_.wvu.Rows" sId="1"/>
    <undo index="65535" exp="area" ref3D="1" dr="$A$292:$XFD$329" dn="Z_1CA6CCC9_64EF_4CA9_9C9C_1E572976D134_.wvu.Rows" sId="1"/>
    <undo index="65535" exp="area" ref3D="1" dr="$A$265:$XFD$289" dn="Z_1CA6CCC9_64EF_4CA9_9C9C_1E572976D134_.wvu.Rows" sId="1"/>
    <undo index="65535" exp="area" ref3D="1" dr="$A$168:$XFD$263" dn="Z_1CA6CCC9_64EF_4CA9_9C9C_1E572976D134_.wvu.Rows" sId="1"/>
    <undo index="65535" exp="area" ref3D="1" dr="$A$156:$XFD$166" dn="Z_1CA6CCC9_64EF_4CA9_9C9C_1E572976D134_.wvu.Rows" sId="1"/>
    <undo index="65535" exp="area" ref3D="1" dr="$A$146:$XFD$154" dn="Z_1CA6CCC9_64EF_4CA9_9C9C_1E572976D134_.wvu.Rows" sId="1"/>
    <undo index="65535" exp="area" ref3D="1" dr="$A$126:$XFD$143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center" wrapText="1"/>
      </ndxf>
    </rcc>
    <rcc rId="0" sId="1" dxf="1">
      <nc r="C125" t="inlineStr">
        <is>
          <t>00 0 00 20010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dxf="1">
      <nc r="D125" t="inlineStr">
        <is>
          <t>600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s="1" dxf="1" numFmtId="4">
      <nc r="E125">
        <v>2535.6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fmt sheetId="1" s="1" sqref="F125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G125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rc rId="1691" sId="1" ref="A125:XFD125" action="deleteRow">
    <undo index="65535" exp="ref" v="1" dr="G125" r="G124" sId="1"/>
    <undo index="65535" exp="ref" v="1" dr="F125" r="F124" sId="1"/>
    <undo index="65535" exp="ref" v="1" dr="E125" r="E124" sId="1"/>
    <undo index="65535" exp="area" ref3D="1" dr="$A$921:$XFD$923" dn="Z_1CA6CCC9_64EF_4CA9_9C9C_1E572976D134_.wvu.Rows" sId="1"/>
    <undo index="65535" exp="area" ref3D="1" dr="$A$916:$XFD$918" dn="Z_1CA6CCC9_64EF_4CA9_9C9C_1E572976D134_.wvu.Rows" sId="1"/>
    <undo index="65535" exp="area" ref3D="1" dr="$A$893:$XFD$913" dn="Z_1CA6CCC9_64EF_4CA9_9C9C_1E572976D134_.wvu.Rows" sId="1"/>
    <undo index="65535" exp="area" ref3D="1" dr="$A$870:$XFD$891" dn="Z_1CA6CCC9_64EF_4CA9_9C9C_1E572976D134_.wvu.Rows" sId="1"/>
    <undo index="65535" exp="area" ref3D="1" dr="$A$864:$XFD$868" dn="Z_1CA6CCC9_64EF_4CA9_9C9C_1E572976D134_.wvu.Rows" sId="1"/>
    <undo index="65535" exp="area" ref3D="1" dr="$A$832:$XFD$861" dn="Z_1CA6CCC9_64EF_4CA9_9C9C_1E572976D134_.wvu.Rows" sId="1"/>
    <undo index="65535" exp="area" ref3D="1" dr="$A$817:$XFD$830" dn="Z_1CA6CCC9_64EF_4CA9_9C9C_1E572976D134_.wvu.Rows" sId="1"/>
    <undo index="65535" exp="area" ref3D="1" dr="$A$813:$XFD$815" dn="Z_1CA6CCC9_64EF_4CA9_9C9C_1E572976D134_.wvu.Rows" sId="1"/>
    <undo index="65535" exp="area" ref3D="1" dr="$A$788:$XFD$809" dn="Z_1CA6CCC9_64EF_4CA9_9C9C_1E572976D134_.wvu.Rows" sId="1"/>
    <undo index="65535" exp="area" ref3D="1" dr="$A$767:$XFD$786" dn="Z_1CA6CCC9_64EF_4CA9_9C9C_1E572976D134_.wvu.Rows" sId="1"/>
    <undo index="65535" exp="area" ref3D="1" dr="$A$715:$XFD$764" dn="Z_1CA6CCC9_64EF_4CA9_9C9C_1E572976D134_.wvu.Rows" sId="1"/>
    <undo index="65535" exp="area" ref3D="1" dr="$A$697:$XFD$713" dn="Z_1CA6CCC9_64EF_4CA9_9C9C_1E572976D134_.wvu.Rows" sId="1"/>
    <undo index="65535" exp="area" ref3D="1" dr="$A$674:$XFD$695" dn="Z_1CA6CCC9_64EF_4CA9_9C9C_1E572976D134_.wvu.Rows" sId="1"/>
    <undo index="65535" exp="area" ref3D="1" dr="$A$609:$XFD$672" dn="Z_1CA6CCC9_64EF_4CA9_9C9C_1E572976D134_.wvu.Rows" sId="1"/>
    <undo index="65535" exp="area" ref3D="1" dr="$A$587:$XFD$607" dn="Z_1CA6CCC9_64EF_4CA9_9C9C_1E572976D134_.wvu.Rows" sId="1"/>
    <undo index="65535" exp="area" ref3D="1" dr="$A$580:$XFD$584" dn="Z_1CA6CCC9_64EF_4CA9_9C9C_1E572976D134_.wvu.Rows" sId="1"/>
    <undo index="65535" exp="area" ref3D="1" dr="$A$558:$XFD$577" dn="Z_1CA6CCC9_64EF_4CA9_9C9C_1E572976D134_.wvu.Rows" sId="1"/>
    <undo index="65535" exp="area" ref3D="1" dr="$A$473:$XFD$556" dn="Z_1CA6CCC9_64EF_4CA9_9C9C_1E572976D134_.wvu.Rows" sId="1"/>
    <undo index="65535" exp="area" ref3D="1" dr="$A$330:$XFD$471" dn="Z_1CA6CCC9_64EF_4CA9_9C9C_1E572976D134_.wvu.Rows" sId="1"/>
    <undo index="65535" exp="area" ref3D="1" dr="$A$291:$XFD$328" dn="Z_1CA6CCC9_64EF_4CA9_9C9C_1E572976D134_.wvu.Rows" sId="1"/>
    <undo index="65535" exp="area" ref3D="1" dr="$A$264:$XFD$288" dn="Z_1CA6CCC9_64EF_4CA9_9C9C_1E572976D134_.wvu.Rows" sId="1"/>
    <undo index="65535" exp="area" ref3D="1" dr="$A$167:$XFD$262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Защита населения и территории от чрезвычайных ситуаций природного и техногенного характера, пожарная безопасность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center" wrapText="1"/>
      </ndxf>
    </rcc>
    <rfmt sheetId="1" sqref="C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125">
        <f>E126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25">
        <f>F126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125">
        <f>G126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692" sId="1" ref="A126:XFD126" action="insertRow">
    <undo index="65535" exp="area" ref3D="1" dr="$A$920:$XFD$922" dn="Z_1CA6CCC9_64EF_4CA9_9C9C_1E572976D134_.wvu.Rows" sId="1"/>
    <undo index="65535" exp="area" ref3D="1" dr="$A$915:$XFD$917" dn="Z_1CA6CCC9_64EF_4CA9_9C9C_1E572976D134_.wvu.Rows" sId="1"/>
    <undo index="65535" exp="area" ref3D="1" dr="$A$892:$XFD$912" dn="Z_1CA6CCC9_64EF_4CA9_9C9C_1E572976D134_.wvu.Rows" sId="1"/>
    <undo index="65535" exp="area" ref3D="1" dr="$A$869:$XFD$890" dn="Z_1CA6CCC9_64EF_4CA9_9C9C_1E572976D134_.wvu.Rows" sId="1"/>
    <undo index="65535" exp="area" ref3D="1" dr="$A$863:$XFD$867" dn="Z_1CA6CCC9_64EF_4CA9_9C9C_1E572976D134_.wvu.Rows" sId="1"/>
    <undo index="65535" exp="area" ref3D="1" dr="$A$831:$XFD$860" dn="Z_1CA6CCC9_64EF_4CA9_9C9C_1E572976D134_.wvu.Rows" sId="1"/>
    <undo index="65535" exp="area" ref3D="1" dr="$A$816:$XFD$829" dn="Z_1CA6CCC9_64EF_4CA9_9C9C_1E572976D134_.wvu.Rows" sId="1"/>
    <undo index="65535" exp="area" ref3D="1" dr="$A$812:$XFD$814" dn="Z_1CA6CCC9_64EF_4CA9_9C9C_1E572976D134_.wvu.Rows" sId="1"/>
    <undo index="65535" exp="area" ref3D="1" dr="$A$787:$XFD$808" dn="Z_1CA6CCC9_64EF_4CA9_9C9C_1E572976D134_.wvu.Rows" sId="1"/>
    <undo index="65535" exp="area" ref3D="1" dr="$A$766:$XFD$785" dn="Z_1CA6CCC9_64EF_4CA9_9C9C_1E572976D134_.wvu.Rows" sId="1"/>
    <undo index="65535" exp="area" ref3D="1" dr="$A$714:$XFD$763" dn="Z_1CA6CCC9_64EF_4CA9_9C9C_1E572976D134_.wvu.Rows" sId="1"/>
    <undo index="65535" exp="area" ref3D="1" dr="$A$696:$XFD$712" dn="Z_1CA6CCC9_64EF_4CA9_9C9C_1E572976D134_.wvu.Rows" sId="1"/>
    <undo index="65535" exp="area" ref3D="1" dr="$A$673:$XFD$694" dn="Z_1CA6CCC9_64EF_4CA9_9C9C_1E572976D134_.wvu.Rows" sId="1"/>
    <undo index="65535" exp="area" ref3D="1" dr="$A$608:$XFD$671" dn="Z_1CA6CCC9_64EF_4CA9_9C9C_1E572976D134_.wvu.Rows" sId="1"/>
    <undo index="65535" exp="area" ref3D="1" dr="$A$586:$XFD$606" dn="Z_1CA6CCC9_64EF_4CA9_9C9C_1E572976D134_.wvu.Rows" sId="1"/>
    <undo index="65535" exp="area" ref3D="1" dr="$A$579:$XFD$583" dn="Z_1CA6CCC9_64EF_4CA9_9C9C_1E572976D134_.wvu.Rows" sId="1"/>
    <undo index="65535" exp="area" ref3D="1" dr="$A$557:$XFD$576" dn="Z_1CA6CCC9_64EF_4CA9_9C9C_1E572976D134_.wvu.Rows" sId="1"/>
    <undo index="65535" exp="area" ref3D="1" dr="$A$472:$XFD$555" dn="Z_1CA6CCC9_64EF_4CA9_9C9C_1E572976D134_.wvu.Rows" sId="1"/>
    <undo index="65535" exp="area" ref3D="1" dr="$A$329:$XFD$470" dn="Z_1CA6CCC9_64EF_4CA9_9C9C_1E572976D134_.wvu.Rows" sId="1"/>
    <undo index="65535" exp="area" ref3D="1" dr="$A$290:$XFD$327" dn="Z_1CA6CCC9_64EF_4CA9_9C9C_1E572976D134_.wvu.Rows" sId="1"/>
    <undo index="65535" exp="area" ref3D="1" dr="$A$263:$XFD$287" dn="Z_1CA6CCC9_64EF_4CA9_9C9C_1E572976D134_.wvu.Rows" sId="1"/>
    <undo index="65535" exp="area" ref3D="1" dr="$A$166:$XFD$261" dn="Z_1CA6CCC9_64EF_4CA9_9C9C_1E572976D134_.wvu.Rows" sId="1"/>
    <undo index="65535" exp="area" ref3D="1" dr="$A$154:$XFD$164" dn="Z_1CA6CCC9_64EF_4CA9_9C9C_1E572976D134_.wvu.Rows" sId="1"/>
    <undo index="65535" exp="area" ref3D="1" dr="$A$144:$XFD$152" dn="Z_1CA6CCC9_64EF_4CA9_9C9C_1E572976D134_.wvu.Rows" sId="1"/>
    <undo index="65535" exp="area" ref3D="1" dr="$A$125:$XFD$141" dn="Z_1CA6CCC9_64EF_4CA9_9C9C_1E572976D134_.wvu.Rows" sId="1"/>
  </rrc>
  <rrc rId="1693" sId="1" ref="A126:XFD126" action="insertRow">
    <undo index="65535" exp="area" ref3D="1" dr="$A$921:$XFD$923" dn="Z_1CA6CCC9_64EF_4CA9_9C9C_1E572976D134_.wvu.Rows" sId="1"/>
    <undo index="65535" exp="area" ref3D="1" dr="$A$916:$XFD$918" dn="Z_1CA6CCC9_64EF_4CA9_9C9C_1E572976D134_.wvu.Rows" sId="1"/>
    <undo index="65535" exp="area" ref3D="1" dr="$A$893:$XFD$913" dn="Z_1CA6CCC9_64EF_4CA9_9C9C_1E572976D134_.wvu.Rows" sId="1"/>
    <undo index="65535" exp="area" ref3D="1" dr="$A$870:$XFD$891" dn="Z_1CA6CCC9_64EF_4CA9_9C9C_1E572976D134_.wvu.Rows" sId="1"/>
    <undo index="65535" exp="area" ref3D="1" dr="$A$864:$XFD$868" dn="Z_1CA6CCC9_64EF_4CA9_9C9C_1E572976D134_.wvu.Rows" sId="1"/>
    <undo index="65535" exp="area" ref3D="1" dr="$A$832:$XFD$861" dn="Z_1CA6CCC9_64EF_4CA9_9C9C_1E572976D134_.wvu.Rows" sId="1"/>
    <undo index="65535" exp="area" ref3D="1" dr="$A$817:$XFD$830" dn="Z_1CA6CCC9_64EF_4CA9_9C9C_1E572976D134_.wvu.Rows" sId="1"/>
    <undo index="65535" exp="area" ref3D="1" dr="$A$813:$XFD$815" dn="Z_1CA6CCC9_64EF_4CA9_9C9C_1E572976D134_.wvu.Rows" sId="1"/>
    <undo index="65535" exp="area" ref3D="1" dr="$A$788:$XFD$809" dn="Z_1CA6CCC9_64EF_4CA9_9C9C_1E572976D134_.wvu.Rows" sId="1"/>
    <undo index="65535" exp="area" ref3D="1" dr="$A$767:$XFD$786" dn="Z_1CA6CCC9_64EF_4CA9_9C9C_1E572976D134_.wvu.Rows" sId="1"/>
    <undo index="65535" exp="area" ref3D="1" dr="$A$715:$XFD$764" dn="Z_1CA6CCC9_64EF_4CA9_9C9C_1E572976D134_.wvu.Rows" sId="1"/>
    <undo index="65535" exp="area" ref3D="1" dr="$A$697:$XFD$713" dn="Z_1CA6CCC9_64EF_4CA9_9C9C_1E572976D134_.wvu.Rows" sId="1"/>
    <undo index="65535" exp="area" ref3D="1" dr="$A$674:$XFD$695" dn="Z_1CA6CCC9_64EF_4CA9_9C9C_1E572976D134_.wvu.Rows" sId="1"/>
    <undo index="65535" exp="area" ref3D="1" dr="$A$609:$XFD$672" dn="Z_1CA6CCC9_64EF_4CA9_9C9C_1E572976D134_.wvu.Rows" sId="1"/>
    <undo index="65535" exp="area" ref3D="1" dr="$A$587:$XFD$607" dn="Z_1CA6CCC9_64EF_4CA9_9C9C_1E572976D134_.wvu.Rows" sId="1"/>
    <undo index="65535" exp="area" ref3D="1" dr="$A$580:$XFD$584" dn="Z_1CA6CCC9_64EF_4CA9_9C9C_1E572976D134_.wvu.Rows" sId="1"/>
    <undo index="65535" exp="area" ref3D="1" dr="$A$558:$XFD$577" dn="Z_1CA6CCC9_64EF_4CA9_9C9C_1E572976D134_.wvu.Rows" sId="1"/>
    <undo index="65535" exp="area" ref3D="1" dr="$A$473:$XFD$556" dn="Z_1CA6CCC9_64EF_4CA9_9C9C_1E572976D134_.wvu.Rows" sId="1"/>
    <undo index="65535" exp="area" ref3D="1" dr="$A$330:$XFD$471" dn="Z_1CA6CCC9_64EF_4CA9_9C9C_1E572976D134_.wvu.Rows" sId="1"/>
    <undo index="65535" exp="area" ref3D="1" dr="$A$291:$XFD$328" dn="Z_1CA6CCC9_64EF_4CA9_9C9C_1E572976D134_.wvu.Rows" sId="1"/>
    <undo index="65535" exp="area" ref3D="1" dr="$A$264:$XFD$288" dn="Z_1CA6CCC9_64EF_4CA9_9C9C_1E572976D134_.wvu.Rows" sId="1"/>
    <undo index="65535" exp="area" ref3D="1" dr="$A$167:$XFD$262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</rrc>
  <rrc rId="1694" sId="1" ref="A126:XFD126" action="insertRow">
    <undo index="65535" exp="area" ref3D="1" dr="$A$922:$XFD$924" dn="Z_1CA6CCC9_64EF_4CA9_9C9C_1E572976D134_.wvu.Rows" sId="1"/>
    <undo index="65535" exp="area" ref3D="1" dr="$A$917:$XFD$919" dn="Z_1CA6CCC9_64EF_4CA9_9C9C_1E572976D134_.wvu.Rows" sId="1"/>
    <undo index="65535" exp="area" ref3D="1" dr="$A$894:$XFD$914" dn="Z_1CA6CCC9_64EF_4CA9_9C9C_1E572976D134_.wvu.Rows" sId="1"/>
    <undo index="65535" exp="area" ref3D="1" dr="$A$871:$XFD$892" dn="Z_1CA6CCC9_64EF_4CA9_9C9C_1E572976D134_.wvu.Rows" sId="1"/>
    <undo index="65535" exp="area" ref3D="1" dr="$A$865:$XFD$869" dn="Z_1CA6CCC9_64EF_4CA9_9C9C_1E572976D134_.wvu.Rows" sId="1"/>
    <undo index="65535" exp="area" ref3D="1" dr="$A$833:$XFD$862" dn="Z_1CA6CCC9_64EF_4CA9_9C9C_1E572976D134_.wvu.Rows" sId="1"/>
    <undo index="65535" exp="area" ref3D="1" dr="$A$818:$XFD$831" dn="Z_1CA6CCC9_64EF_4CA9_9C9C_1E572976D134_.wvu.Rows" sId="1"/>
    <undo index="65535" exp="area" ref3D="1" dr="$A$814:$XFD$816" dn="Z_1CA6CCC9_64EF_4CA9_9C9C_1E572976D134_.wvu.Rows" sId="1"/>
    <undo index="65535" exp="area" ref3D="1" dr="$A$789:$XFD$810" dn="Z_1CA6CCC9_64EF_4CA9_9C9C_1E572976D134_.wvu.Rows" sId="1"/>
    <undo index="65535" exp="area" ref3D="1" dr="$A$768:$XFD$787" dn="Z_1CA6CCC9_64EF_4CA9_9C9C_1E572976D134_.wvu.Rows" sId="1"/>
    <undo index="65535" exp="area" ref3D="1" dr="$A$716:$XFD$765" dn="Z_1CA6CCC9_64EF_4CA9_9C9C_1E572976D134_.wvu.Rows" sId="1"/>
    <undo index="65535" exp="area" ref3D="1" dr="$A$698:$XFD$714" dn="Z_1CA6CCC9_64EF_4CA9_9C9C_1E572976D134_.wvu.Rows" sId="1"/>
    <undo index="65535" exp="area" ref3D="1" dr="$A$675:$XFD$696" dn="Z_1CA6CCC9_64EF_4CA9_9C9C_1E572976D134_.wvu.Rows" sId="1"/>
    <undo index="65535" exp="area" ref3D="1" dr="$A$610:$XFD$673" dn="Z_1CA6CCC9_64EF_4CA9_9C9C_1E572976D134_.wvu.Rows" sId="1"/>
    <undo index="65535" exp="area" ref3D="1" dr="$A$588:$XFD$608" dn="Z_1CA6CCC9_64EF_4CA9_9C9C_1E572976D134_.wvu.Rows" sId="1"/>
    <undo index="65535" exp="area" ref3D="1" dr="$A$581:$XFD$585" dn="Z_1CA6CCC9_64EF_4CA9_9C9C_1E572976D134_.wvu.Rows" sId="1"/>
    <undo index="65535" exp="area" ref3D="1" dr="$A$559:$XFD$578" dn="Z_1CA6CCC9_64EF_4CA9_9C9C_1E572976D134_.wvu.Rows" sId="1"/>
    <undo index="65535" exp="area" ref3D="1" dr="$A$474:$XFD$557" dn="Z_1CA6CCC9_64EF_4CA9_9C9C_1E572976D134_.wvu.Rows" sId="1"/>
    <undo index="65535" exp="area" ref3D="1" dr="$A$331:$XFD$472" dn="Z_1CA6CCC9_64EF_4CA9_9C9C_1E572976D134_.wvu.Rows" sId="1"/>
    <undo index="65535" exp="area" ref3D="1" dr="$A$292:$XFD$329" dn="Z_1CA6CCC9_64EF_4CA9_9C9C_1E572976D134_.wvu.Rows" sId="1"/>
    <undo index="65535" exp="area" ref3D="1" dr="$A$265:$XFD$289" dn="Z_1CA6CCC9_64EF_4CA9_9C9C_1E572976D134_.wvu.Rows" sId="1"/>
    <undo index="65535" exp="area" ref3D="1" dr="$A$168:$XFD$263" dn="Z_1CA6CCC9_64EF_4CA9_9C9C_1E572976D134_.wvu.Rows" sId="1"/>
    <undo index="65535" exp="area" ref3D="1" dr="$A$156:$XFD$166" dn="Z_1CA6CCC9_64EF_4CA9_9C9C_1E572976D134_.wvu.Rows" sId="1"/>
    <undo index="65535" exp="area" ref3D="1" dr="$A$146:$XFD$154" dn="Z_1CA6CCC9_64EF_4CA9_9C9C_1E572976D134_.wvu.Rows" sId="1"/>
    <undo index="65535" exp="area" ref3D="1" dr="$A$125:$XFD$143" dn="Z_1CA6CCC9_64EF_4CA9_9C9C_1E572976D134_.wvu.Rows" sId="1"/>
  </rrc>
  <rm rId="1695" sheetId="1" source="A125:G125" destination="A128:G128" sourceSheetId="1">
    <undo index="65535" exp="area" ref3D="1" dr="$A$125:$XFD$144" dn="Z_1CA6CCC9_64EF_4CA9_9C9C_1E572976D134_.wvu.Rows" sId="1"/>
    <rfmt sheetId="1" s="1" sqref="A128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left" vertical="top" wrapText="1"/>
      </dxf>
    </rfmt>
    <rfmt sheetId="1" s="1" sqref="B128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C128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D128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E128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F128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128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rc rId="1696" sId="1" ref="A127:XFD127" action="insertRow">
    <undo index="65535" exp="area" ref3D="1" dr="$A$923:$XFD$925" dn="Z_1CA6CCC9_64EF_4CA9_9C9C_1E572976D134_.wvu.Rows" sId="1"/>
    <undo index="65535" exp="area" ref3D="1" dr="$A$918:$XFD$920" dn="Z_1CA6CCC9_64EF_4CA9_9C9C_1E572976D134_.wvu.Rows" sId="1"/>
    <undo index="65535" exp="area" ref3D="1" dr="$A$895:$XFD$915" dn="Z_1CA6CCC9_64EF_4CA9_9C9C_1E572976D134_.wvu.Rows" sId="1"/>
    <undo index="65535" exp="area" ref3D="1" dr="$A$872:$XFD$893" dn="Z_1CA6CCC9_64EF_4CA9_9C9C_1E572976D134_.wvu.Rows" sId="1"/>
    <undo index="65535" exp="area" ref3D="1" dr="$A$866:$XFD$870" dn="Z_1CA6CCC9_64EF_4CA9_9C9C_1E572976D134_.wvu.Rows" sId="1"/>
    <undo index="65535" exp="area" ref3D="1" dr="$A$834:$XFD$863" dn="Z_1CA6CCC9_64EF_4CA9_9C9C_1E572976D134_.wvu.Rows" sId="1"/>
    <undo index="65535" exp="area" ref3D="1" dr="$A$819:$XFD$832" dn="Z_1CA6CCC9_64EF_4CA9_9C9C_1E572976D134_.wvu.Rows" sId="1"/>
    <undo index="65535" exp="area" ref3D="1" dr="$A$815:$XFD$817" dn="Z_1CA6CCC9_64EF_4CA9_9C9C_1E572976D134_.wvu.Rows" sId="1"/>
    <undo index="65535" exp="area" ref3D="1" dr="$A$790:$XFD$811" dn="Z_1CA6CCC9_64EF_4CA9_9C9C_1E572976D134_.wvu.Rows" sId="1"/>
    <undo index="65535" exp="area" ref3D="1" dr="$A$769:$XFD$788" dn="Z_1CA6CCC9_64EF_4CA9_9C9C_1E572976D134_.wvu.Rows" sId="1"/>
    <undo index="65535" exp="area" ref3D="1" dr="$A$717:$XFD$766" dn="Z_1CA6CCC9_64EF_4CA9_9C9C_1E572976D134_.wvu.Rows" sId="1"/>
    <undo index="65535" exp="area" ref3D="1" dr="$A$699:$XFD$715" dn="Z_1CA6CCC9_64EF_4CA9_9C9C_1E572976D134_.wvu.Rows" sId="1"/>
    <undo index="65535" exp="area" ref3D="1" dr="$A$676:$XFD$697" dn="Z_1CA6CCC9_64EF_4CA9_9C9C_1E572976D134_.wvu.Rows" sId="1"/>
    <undo index="65535" exp="area" ref3D="1" dr="$A$611:$XFD$674" dn="Z_1CA6CCC9_64EF_4CA9_9C9C_1E572976D134_.wvu.Rows" sId="1"/>
    <undo index="65535" exp="area" ref3D="1" dr="$A$589:$XFD$609" dn="Z_1CA6CCC9_64EF_4CA9_9C9C_1E572976D134_.wvu.Rows" sId="1"/>
    <undo index="65535" exp="area" ref3D="1" dr="$A$582:$XFD$586" dn="Z_1CA6CCC9_64EF_4CA9_9C9C_1E572976D134_.wvu.Rows" sId="1"/>
    <undo index="65535" exp="area" ref3D="1" dr="$A$560:$XFD$579" dn="Z_1CA6CCC9_64EF_4CA9_9C9C_1E572976D134_.wvu.Rows" sId="1"/>
    <undo index="65535" exp="area" ref3D="1" dr="$A$475:$XFD$558" dn="Z_1CA6CCC9_64EF_4CA9_9C9C_1E572976D134_.wvu.Rows" sId="1"/>
    <undo index="65535" exp="area" ref3D="1" dr="$A$332:$XFD$473" dn="Z_1CA6CCC9_64EF_4CA9_9C9C_1E572976D134_.wvu.Rows" sId="1"/>
    <undo index="65535" exp="area" ref3D="1" dr="$A$293:$XFD$330" dn="Z_1CA6CCC9_64EF_4CA9_9C9C_1E572976D134_.wvu.Rows" sId="1"/>
    <undo index="65535" exp="area" ref3D="1" dr="$A$266:$XFD$290" dn="Z_1CA6CCC9_64EF_4CA9_9C9C_1E572976D134_.wvu.Rows" sId="1"/>
    <undo index="65535" exp="area" ref3D="1" dr="$A$169:$XFD$264" dn="Z_1CA6CCC9_64EF_4CA9_9C9C_1E572976D134_.wvu.Rows" sId="1"/>
    <undo index="65535" exp="area" ref3D="1" dr="$A$157:$XFD$167" dn="Z_1CA6CCC9_64EF_4CA9_9C9C_1E572976D134_.wvu.Rows" sId="1"/>
    <undo index="65535" exp="area" ref3D="1" dr="$A$147:$XFD$155" dn="Z_1CA6CCC9_64EF_4CA9_9C9C_1E572976D134_.wvu.Rows" sId="1"/>
    <undo index="65535" exp="area" ref3D="1" dr="$A$125:$XFD$144" dn="Z_1CA6CCC9_64EF_4CA9_9C9C_1E572976D134_.wvu.Rows" sId="1"/>
  </rrc>
  <rcc rId="1697" sId="1" odxf="1" s="1" dxf="1">
    <nc r="A125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wrapText="1"/>
    </ndxf>
  </rcc>
  <rcc rId="1698" sId="1" odxf="1" dxf="1">
    <nc r="A126" t="inlineStr">
      <is>
        <t>Непрограммные расходы</t>
      </is>
    </nc>
    <o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odxf>
    <ndxf>
      <font>
        <sz val="12"/>
        <name val="Times New Roman"/>
        <family val="1"/>
      </font>
      <numFmt numFmtId="1" formatCode="0"/>
      <fill>
        <patternFill patternType="solid">
          <bgColor theme="4" tint="0.59999389629810485"/>
        </patternFill>
      </fill>
    </ndxf>
  </rcc>
  <rcc rId="1699" sId="1" odxf="1" dxf="1">
    <nc r="A127" t="inlineStr">
      <is>
        <t>Резервный фонд администрации города Благовещенска</t>
      </is>
    </nc>
    <o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odxf>
    <ndxf>
      <font>
        <sz val="12"/>
        <name val="Times New Roman"/>
        <family val="1"/>
      </font>
      <numFmt numFmtId="1" formatCode="0"/>
      <fill>
        <patternFill patternType="solid">
          <bgColor theme="4" tint="0.59999389629810485"/>
        </patternFill>
      </fill>
    </ndxf>
  </rcc>
  <rcc rId="1700" sId="1" odxf="1" dxf="1">
    <nc r="A128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  <numFmt numFmtId="0" formatCode="General"/>
      <alignment horizontal="left"/>
    </odxf>
    <ndxf>
      <font>
        <sz val="12"/>
        <name val="Times New Roman"/>
        <family val="1"/>
      </font>
      <numFmt numFmtId="1" formatCode="0"/>
      <alignment horizontal="general"/>
    </ndxf>
  </rcc>
  <rcc rId="1701" sId="1" odxf="1" s="1" dxf="1">
    <nc r="B125" t="inlineStr">
      <is>
        <t>0310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center"/>
    </ndxf>
  </rcc>
  <rfmt sheetId="1" s="1" sqref="C12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alignment horizontal="center"/>
    </dxf>
  </rfmt>
  <rfmt sheetId="1" s="1" sqref="D12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alignment horizontal="center"/>
    </dxf>
  </rfmt>
  <rcc rId="1702" sId="1" odxf="1" dxf="1">
    <nc r="B126" t="inlineStr">
      <is>
        <t>0310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4" tint="0.59999389629810485"/>
        </patternFill>
      </fill>
    </ndxf>
  </rcc>
  <rcc rId="1703" sId="1" odxf="1" s="1" dxf="1">
    <nc r="C126" t="inlineStr">
      <is>
        <t>00 0 00 00000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fmt sheetId="1" s="1" sqref="D12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dxf>
  </rfmt>
  <rcc rId="1704" sId="1" odxf="1" dxf="1">
    <nc r="B127" t="inlineStr">
      <is>
        <t>0310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4" tint="0.59999389629810485"/>
        </patternFill>
      </fill>
    </ndxf>
  </rcc>
  <rcc rId="1705" sId="1" odxf="1" s="1" dxf="1">
    <nc r="C127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fmt sheetId="1" s="1" sqref="D127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dxf>
  </rfmt>
  <rcc rId="1706" sId="1" odxf="1" dxf="1">
    <nc r="B128" t="inlineStr">
      <is>
        <t>0310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4" tint="0.59999389629810485"/>
        </patternFill>
      </fill>
    </ndxf>
  </rcc>
  <rcc rId="1707" sId="1" odxf="1" s="1" dxf="1">
    <nc r="C128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708" sId="1" odxf="1" s="1" dxf="1">
    <nc r="D128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709" sId="1" numFmtId="4">
    <nc r="E128">
      <v>2535.6</v>
    </nc>
  </rcc>
  <rcc rId="1710" sId="1">
    <nc r="E127">
      <f>+E128</f>
    </nc>
  </rcc>
  <rcc rId="1711" sId="1">
    <nc r="F126">
      <f>+F127</f>
    </nc>
  </rcc>
  <rcc rId="1712" sId="1" odxf="1" s="1" dxf="1">
    <nc r="G126">
      <f>+G127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713" sId="1">
    <nc r="F127">
      <f>+F128</f>
    </nc>
  </rcc>
  <rcc rId="1714" sId="1" odxf="1" s="1" dxf="1">
    <nc r="G127">
      <f>+G128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715" sId="1">
    <nc r="E126">
      <f>+E127+E129</f>
    </nc>
  </rcc>
  <rfmt sheetId="1" sqref="E125" start="0" length="0">
    <dxf>
      <numFmt numFmtId="164" formatCode="#,##0.0"/>
    </dxf>
  </rfmt>
  <rfmt sheetId="1" sqref="F125" start="0" length="0">
    <dxf>
      <numFmt numFmtId="164" formatCode="#,##0.0"/>
    </dxf>
  </rfmt>
  <rfmt sheetId="1" sqref="G125" start="0" length="0">
    <dxf>
      <numFmt numFmtId="164" formatCode="#,##0.0"/>
    </dxf>
  </rfmt>
  <rfmt sheetId="1" sqref="H125" start="0" length="0">
    <dxf>
      <numFmt numFmtId="164" formatCode="#,##0.0"/>
    </dxf>
  </rfmt>
  <rcc rId="1716" sId="1">
    <oc r="E124">
      <f>#REF!</f>
    </oc>
    <nc r="E124">
      <f>+E125</f>
    </nc>
  </rcc>
  <rcc rId="1717" sId="1">
    <oc r="F124">
      <f>#REF!</f>
    </oc>
    <nc r="F124">
      <f>+F125</f>
    </nc>
  </rcc>
  <rcc rId="1718" sId="1" odxf="1" s="1" dxf="1">
    <oc r="G124">
      <f>#REF!</f>
    </oc>
    <nc r="G124">
      <f>+G125</f>
    </nc>
    <ndxf/>
  </rcc>
  <rcc rId="1719" sId="1" odxf="1" dxf="1">
    <nc r="E125">
      <f>+E126</f>
    </nc>
    <ndxf>
      <font>
        <sz val="12"/>
        <color auto="1"/>
        <name val="Times New Roman"/>
        <family val="1"/>
        <scheme val="none"/>
      </font>
      <alignment horizontal="center"/>
    </ndxf>
  </rcc>
  <rcc rId="1720" sId="1" odxf="1" dxf="1">
    <nc r="F125">
      <f>+F126</f>
    </nc>
    <ndxf>
      <font>
        <sz val="12"/>
        <color auto="1"/>
        <name val="Times New Roman"/>
        <family val="1"/>
        <scheme val="none"/>
      </font>
      <alignment horizontal="center"/>
    </ndxf>
  </rcc>
  <rcc rId="1721" sId="1" odxf="1" dxf="1">
    <nc r="G125">
      <f>+G126</f>
    </nc>
    <ndxf>
      <font>
        <sz val="12"/>
        <color auto="1"/>
        <name val="Times New Roman"/>
        <family val="1"/>
        <scheme val="none"/>
      </font>
      <alignment horizontal="center"/>
    </ndxf>
  </rcc>
  <rfmt sheetId="1" sqref="A126:D128">
    <dxf>
      <fill>
        <patternFill>
          <bgColor theme="0"/>
        </patternFill>
      </fill>
    </dxf>
  </rfmt>
  <rfmt sheetId="1" sqref="E133:E144">
    <dxf>
      <fill>
        <patternFill>
          <bgColor theme="0"/>
        </patternFill>
      </fill>
    </dxf>
  </rfmt>
  <rfmt sheetId="1" sqref="E169">
    <dxf>
      <fill>
        <patternFill>
          <bgColor theme="9" tint="0.79998168889431442"/>
        </patternFill>
      </fill>
    </dxf>
  </rfmt>
  <rfmt sheetId="1" sqref="E337">
    <dxf>
      <fill>
        <patternFill patternType="solid">
          <bgColor theme="9" tint="0.79998168889431442"/>
        </patternFill>
      </fill>
    </dxf>
  </rfmt>
  <rfmt sheetId="1" sqref="E341">
    <dxf>
      <fill>
        <patternFill patternType="solid">
          <bgColor theme="9" tint="0.79998168889431442"/>
        </patternFill>
      </fill>
    </dxf>
  </rfmt>
  <rfmt sheetId="1" sqref="E343">
    <dxf>
      <fill>
        <patternFill patternType="solid">
          <bgColor theme="9" tint="0.79998168889431442"/>
        </patternFill>
      </fill>
    </dxf>
  </rfmt>
  <rfmt sheetId="1" sqref="E344 E346">
    <dxf>
      <fill>
        <patternFill patternType="solid">
          <bgColor theme="9" tint="0.79998168889431442"/>
        </patternFill>
      </fill>
    </dxf>
  </rfmt>
  <rfmt sheetId="1" sqref="E348">
    <dxf>
      <fill>
        <patternFill patternType="solid">
          <bgColor theme="9" tint="0.79998168889431442"/>
        </patternFill>
      </fill>
    </dxf>
  </rfmt>
  <rfmt sheetId="1" sqref="E352">
    <dxf>
      <fill>
        <patternFill patternType="solid">
          <bgColor theme="9" tint="0.79998168889431442"/>
        </patternFill>
      </fill>
    </dxf>
  </rfmt>
  <rfmt sheetId="1" sqref="E354">
    <dxf>
      <fill>
        <patternFill patternType="solid">
          <bgColor theme="9" tint="0.79998168889431442"/>
        </patternFill>
      </fill>
    </dxf>
  </rfmt>
  <rfmt sheetId="1" sqref="E356">
    <dxf>
      <fill>
        <patternFill patternType="solid">
          <bgColor theme="9" tint="0.79998168889431442"/>
        </patternFill>
      </fill>
    </dxf>
  </rfmt>
  <rfmt sheetId="1" sqref="E350">
    <dxf>
      <fill>
        <patternFill patternType="solid">
          <bgColor theme="9" tint="0.79998168889431442"/>
        </patternFill>
      </fill>
    </dxf>
  </rfmt>
  <rfmt sheetId="1" sqref="E358:E359">
    <dxf>
      <fill>
        <patternFill patternType="solid">
          <bgColor theme="9" tint="0.79998168889431442"/>
        </patternFill>
      </fill>
    </dxf>
  </rfmt>
  <rfmt sheetId="1" sqref="E361">
    <dxf>
      <fill>
        <patternFill patternType="solid">
          <bgColor theme="9" tint="0.79998168889431442"/>
        </patternFill>
      </fill>
    </dxf>
  </rfmt>
  <rfmt sheetId="1" sqref="E363 E365">
    <dxf>
      <fill>
        <patternFill patternType="solid">
          <bgColor theme="9" tint="0.79998168889431442"/>
        </patternFill>
      </fill>
    </dxf>
  </rfmt>
  <rfmt sheetId="1" sqref="E367">
    <dxf>
      <fill>
        <patternFill patternType="solid">
          <bgColor theme="9" tint="0.79998168889431442"/>
        </patternFill>
      </fill>
    </dxf>
  </rfmt>
  <rfmt sheetId="1" sqref="E369">
    <dxf>
      <fill>
        <patternFill patternType="solid">
          <bgColor theme="9" tint="0.79998168889431442"/>
        </patternFill>
      </fill>
    </dxf>
  </rfmt>
  <rfmt sheetId="1" sqref="E371">
    <dxf>
      <fill>
        <patternFill patternType="solid">
          <bgColor theme="9" tint="0.79998168889431442"/>
        </patternFill>
      </fill>
    </dxf>
  </rfmt>
  <rfmt sheetId="1" sqref="E373">
    <dxf>
      <fill>
        <patternFill patternType="solid">
          <bgColor theme="9" tint="0.79998168889431442"/>
        </patternFill>
      </fill>
    </dxf>
  </rfmt>
  <rfmt sheetId="1" sqref="E375 E377 E379">
    <dxf>
      <fill>
        <patternFill patternType="solid">
          <bgColor theme="9" tint="0.79998168889431442"/>
        </patternFill>
      </fill>
    </dxf>
  </rfmt>
  <rfmt sheetId="1" sqref="E381">
    <dxf>
      <fill>
        <patternFill patternType="solid">
          <bgColor theme="9" tint="0.79998168889431442"/>
        </patternFill>
      </fill>
    </dxf>
  </rfmt>
  <rfmt sheetId="1" sqref="E383">
    <dxf>
      <fill>
        <patternFill patternType="solid">
          <bgColor theme="9" tint="0.79998168889431442"/>
        </patternFill>
      </fill>
    </dxf>
  </rfmt>
  <rfmt sheetId="1" sqref="E385">
    <dxf>
      <fill>
        <patternFill patternType="solid">
          <bgColor theme="9" tint="0.79998168889431442"/>
        </patternFill>
      </fill>
    </dxf>
  </rfmt>
  <rfmt sheetId="1" sqref="E387">
    <dxf>
      <fill>
        <patternFill patternType="solid">
          <bgColor theme="9" tint="0.79998168889431442"/>
        </patternFill>
      </fill>
    </dxf>
  </rfmt>
  <rfmt sheetId="1" sqref="E389">
    <dxf>
      <fill>
        <patternFill patternType="solid">
          <bgColor theme="9" tint="0.79998168889431442"/>
        </patternFill>
      </fill>
    </dxf>
  </rfmt>
  <rfmt sheetId="1" sqref="E393">
    <dxf>
      <fill>
        <patternFill patternType="solid">
          <bgColor theme="9" tint="0.79998168889431442"/>
        </patternFill>
      </fill>
    </dxf>
  </rfmt>
  <rfmt sheetId="1" sqref="E395 E397">
    <dxf>
      <fill>
        <patternFill patternType="solid">
          <bgColor theme="9" tint="0.79998168889431442"/>
        </patternFill>
      </fill>
    </dxf>
  </rfmt>
  <rfmt sheetId="1" sqref="E399">
    <dxf>
      <fill>
        <patternFill patternType="solid">
          <bgColor theme="9" tint="0.79998168889431442"/>
        </patternFill>
      </fill>
    </dxf>
  </rfmt>
  <rfmt sheetId="1" sqref="E401">
    <dxf>
      <fill>
        <patternFill patternType="solid">
          <bgColor theme="9" tint="0.79998168889431442"/>
        </patternFill>
      </fill>
    </dxf>
  </rfmt>
  <rfmt sheetId="1" sqref="E403">
    <dxf>
      <fill>
        <patternFill patternType="solid">
          <bgColor theme="9" tint="0.79998168889431442"/>
        </patternFill>
      </fill>
    </dxf>
  </rfmt>
  <rfmt sheetId="1" sqref="E405">
    <dxf>
      <fill>
        <patternFill patternType="solid">
          <bgColor theme="9" tint="0.79998168889431442"/>
        </patternFill>
      </fill>
    </dxf>
  </rfmt>
  <rfmt sheetId="1" sqref="E407 E409 E411">
    <dxf>
      <fill>
        <patternFill patternType="solid">
          <bgColor theme="9" tint="0.79998168889431442"/>
        </patternFill>
      </fill>
    </dxf>
  </rfmt>
  <rfmt sheetId="1" sqref="E413 E415">
    <dxf>
      <fill>
        <patternFill patternType="solid">
          <bgColor theme="9" tint="0.79998168889431442"/>
        </patternFill>
      </fill>
    </dxf>
  </rfmt>
  <rfmt sheetId="1" sqref="E417 E419 E421">
    <dxf>
      <fill>
        <patternFill patternType="solid">
          <bgColor theme="9" tint="0.79998168889431442"/>
        </patternFill>
      </fill>
    </dxf>
  </rfmt>
  <rfmt sheetId="1" sqref="E423 E425 E427">
    <dxf>
      <fill>
        <patternFill patternType="solid">
          <bgColor theme="9" tint="0.79998168889431442"/>
        </patternFill>
      </fill>
    </dxf>
  </rfmt>
  <rfmt sheetId="1" sqref="E431">
    <dxf>
      <fill>
        <patternFill patternType="solid">
          <bgColor theme="9" tint="0.79998168889431442"/>
        </patternFill>
      </fill>
    </dxf>
  </rfmt>
  <rfmt sheetId="1" sqref="E429">
    <dxf>
      <fill>
        <patternFill patternType="solid">
          <bgColor theme="9" tint="0.79998168889431442"/>
        </patternFill>
      </fill>
    </dxf>
  </rfmt>
  <rfmt sheetId="1" sqref="E433">
    <dxf>
      <fill>
        <patternFill patternType="solid">
          <bgColor theme="9" tint="0.79998168889431442"/>
        </patternFill>
      </fill>
    </dxf>
  </rfmt>
  <rfmt sheetId="1" sqref="E435">
    <dxf>
      <fill>
        <patternFill patternType="solid">
          <bgColor theme="9" tint="0.79998168889431442"/>
        </patternFill>
      </fill>
    </dxf>
  </rfmt>
  <rfmt sheetId="1" sqref="E437 E439 E441">
    <dxf>
      <fill>
        <patternFill patternType="solid">
          <bgColor theme="9" tint="0.79998168889431442"/>
        </patternFill>
      </fill>
    </dxf>
  </rfmt>
  <rfmt sheetId="1" sqref="E443">
    <dxf>
      <fill>
        <patternFill patternType="solid">
          <bgColor theme="9" tint="0.79998168889431442"/>
        </patternFill>
      </fill>
    </dxf>
  </rfmt>
  <rfmt sheetId="1" sqref="E445">
    <dxf>
      <fill>
        <patternFill patternType="solid">
          <bgColor theme="9" tint="0.79998168889431442"/>
        </patternFill>
      </fill>
    </dxf>
  </rfmt>
  <rfmt sheetId="1" sqref="E447 E449 E451">
    <dxf>
      <fill>
        <patternFill patternType="solid">
          <bgColor theme="9" tint="0.79998168889431442"/>
        </patternFill>
      </fill>
    </dxf>
  </rfmt>
  <rfmt sheetId="1" sqref="E453 E455">
    <dxf>
      <fill>
        <patternFill patternType="solid">
          <bgColor theme="9" tint="0.79998168889431442"/>
        </patternFill>
      </fill>
    </dxf>
  </rfmt>
  <rfmt sheetId="1" sqref="E458">
    <dxf>
      <fill>
        <patternFill patternType="solid">
          <bgColor theme="9" tint="0.79998168889431442"/>
        </patternFill>
      </fill>
    </dxf>
  </rfmt>
  <rfmt sheetId="1" sqref="E462">
    <dxf>
      <fill>
        <patternFill patternType="solid">
          <bgColor theme="9" tint="0.79998168889431442"/>
        </patternFill>
      </fill>
    </dxf>
  </rfmt>
  <rfmt sheetId="1" sqref="E464:E465">
    <dxf>
      <fill>
        <patternFill patternType="solid">
          <bgColor theme="9" tint="0.79998168889431442"/>
        </patternFill>
      </fill>
    </dxf>
  </rfmt>
  <rfmt sheetId="1" sqref="E467 E469">
    <dxf>
      <fill>
        <patternFill patternType="solid">
          <bgColor theme="9" tint="0.79998168889431442"/>
        </patternFill>
      </fill>
    </dxf>
  </rfmt>
  <rfmt sheetId="1" sqref="E472 E474">
    <dxf>
      <fill>
        <patternFill patternType="solid">
          <bgColor theme="9" tint="0.79998168889431442"/>
        </patternFill>
      </fill>
    </dxf>
  </rfmt>
  <rrc rId="1722" sId="1" ref="A334:XFD334" action="insertRow">
    <undo index="65535" exp="area" ref3D="1" dr="$A$924:$XFD$926" dn="Z_1CA6CCC9_64EF_4CA9_9C9C_1E572976D134_.wvu.Rows" sId="1"/>
    <undo index="65535" exp="area" ref3D="1" dr="$A$919:$XFD$921" dn="Z_1CA6CCC9_64EF_4CA9_9C9C_1E572976D134_.wvu.Rows" sId="1"/>
    <undo index="65535" exp="area" ref3D="1" dr="$A$896:$XFD$916" dn="Z_1CA6CCC9_64EF_4CA9_9C9C_1E572976D134_.wvu.Rows" sId="1"/>
    <undo index="65535" exp="area" ref3D="1" dr="$A$873:$XFD$894" dn="Z_1CA6CCC9_64EF_4CA9_9C9C_1E572976D134_.wvu.Rows" sId="1"/>
    <undo index="65535" exp="area" ref3D="1" dr="$A$867:$XFD$871" dn="Z_1CA6CCC9_64EF_4CA9_9C9C_1E572976D134_.wvu.Rows" sId="1"/>
    <undo index="65535" exp="area" ref3D="1" dr="$A$835:$XFD$864" dn="Z_1CA6CCC9_64EF_4CA9_9C9C_1E572976D134_.wvu.Rows" sId="1"/>
    <undo index="65535" exp="area" ref3D="1" dr="$A$820:$XFD$833" dn="Z_1CA6CCC9_64EF_4CA9_9C9C_1E572976D134_.wvu.Rows" sId="1"/>
    <undo index="65535" exp="area" ref3D="1" dr="$A$816:$XFD$818" dn="Z_1CA6CCC9_64EF_4CA9_9C9C_1E572976D134_.wvu.Rows" sId="1"/>
    <undo index="65535" exp="area" ref3D="1" dr="$A$791:$XFD$812" dn="Z_1CA6CCC9_64EF_4CA9_9C9C_1E572976D134_.wvu.Rows" sId="1"/>
    <undo index="65535" exp="area" ref3D="1" dr="$A$770:$XFD$789" dn="Z_1CA6CCC9_64EF_4CA9_9C9C_1E572976D134_.wvu.Rows" sId="1"/>
    <undo index="65535" exp="area" ref3D="1" dr="$A$718:$XFD$767" dn="Z_1CA6CCC9_64EF_4CA9_9C9C_1E572976D134_.wvu.Rows" sId="1"/>
    <undo index="65535" exp="area" ref3D="1" dr="$A$700:$XFD$716" dn="Z_1CA6CCC9_64EF_4CA9_9C9C_1E572976D134_.wvu.Rows" sId="1"/>
    <undo index="65535" exp="area" ref3D="1" dr="$A$677:$XFD$698" dn="Z_1CA6CCC9_64EF_4CA9_9C9C_1E572976D134_.wvu.Rows" sId="1"/>
    <undo index="65535" exp="area" ref3D="1" dr="$A$612:$XFD$675" dn="Z_1CA6CCC9_64EF_4CA9_9C9C_1E572976D134_.wvu.Rows" sId="1"/>
    <undo index="65535" exp="area" ref3D="1" dr="$A$590:$XFD$610" dn="Z_1CA6CCC9_64EF_4CA9_9C9C_1E572976D134_.wvu.Rows" sId="1"/>
    <undo index="65535" exp="area" ref3D="1" dr="$A$583:$XFD$587" dn="Z_1CA6CCC9_64EF_4CA9_9C9C_1E572976D134_.wvu.Rows" sId="1"/>
    <undo index="65535" exp="area" ref3D="1" dr="$A$561:$XFD$580" dn="Z_1CA6CCC9_64EF_4CA9_9C9C_1E572976D134_.wvu.Rows" sId="1"/>
    <undo index="65535" exp="area" ref3D="1" dr="$A$476:$XFD$559" dn="Z_1CA6CCC9_64EF_4CA9_9C9C_1E572976D134_.wvu.Rows" sId="1"/>
    <undo index="65535" exp="area" ref3D="1" dr="$A$333:$XFD$474" dn="Z_1CA6CCC9_64EF_4CA9_9C9C_1E572976D134_.wvu.Rows" sId="1"/>
  </rrc>
  <rm rId="1723" sheetId="1" source="A333:G333" destination="A334:G334" sourceSheetId="1">
    <undo index="65535" exp="area" ref3D="1" dr="$A$333:$XFD$475" dn="Z_1CA6CCC9_64EF_4CA9_9C9C_1E572976D134_.wvu.Rows" sId="1"/>
    <rfmt sheetId="1" s="1" sqref="A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334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334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D33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E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F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rc rId="1724" sId="1" ref="A335:XFD335" action="insertRow">
    <undo index="65535" exp="area" ref3D="1" dr="$A$925:$XFD$927" dn="Z_1CA6CCC9_64EF_4CA9_9C9C_1E572976D134_.wvu.Rows" sId="1"/>
    <undo index="65535" exp="area" ref3D="1" dr="$A$920:$XFD$922" dn="Z_1CA6CCC9_64EF_4CA9_9C9C_1E572976D134_.wvu.Rows" sId="1"/>
    <undo index="65535" exp="area" ref3D="1" dr="$A$897:$XFD$917" dn="Z_1CA6CCC9_64EF_4CA9_9C9C_1E572976D134_.wvu.Rows" sId="1"/>
    <undo index="65535" exp="area" ref3D="1" dr="$A$874:$XFD$895" dn="Z_1CA6CCC9_64EF_4CA9_9C9C_1E572976D134_.wvu.Rows" sId="1"/>
    <undo index="65535" exp="area" ref3D="1" dr="$A$868:$XFD$872" dn="Z_1CA6CCC9_64EF_4CA9_9C9C_1E572976D134_.wvu.Rows" sId="1"/>
    <undo index="65535" exp="area" ref3D="1" dr="$A$836:$XFD$865" dn="Z_1CA6CCC9_64EF_4CA9_9C9C_1E572976D134_.wvu.Rows" sId="1"/>
    <undo index="65535" exp="area" ref3D="1" dr="$A$821:$XFD$834" dn="Z_1CA6CCC9_64EF_4CA9_9C9C_1E572976D134_.wvu.Rows" sId="1"/>
    <undo index="65535" exp="area" ref3D="1" dr="$A$817:$XFD$819" dn="Z_1CA6CCC9_64EF_4CA9_9C9C_1E572976D134_.wvu.Rows" sId="1"/>
    <undo index="65535" exp="area" ref3D="1" dr="$A$792:$XFD$813" dn="Z_1CA6CCC9_64EF_4CA9_9C9C_1E572976D134_.wvu.Rows" sId="1"/>
    <undo index="65535" exp="area" ref3D="1" dr="$A$771:$XFD$790" dn="Z_1CA6CCC9_64EF_4CA9_9C9C_1E572976D134_.wvu.Rows" sId="1"/>
    <undo index="65535" exp="area" ref3D="1" dr="$A$719:$XFD$768" dn="Z_1CA6CCC9_64EF_4CA9_9C9C_1E572976D134_.wvu.Rows" sId="1"/>
    <undo index="65535" exp="area" ref3D="1" dr="$A$701:$XFD$717" dn="Z_1CA6CCC9_64EF_4CA9_9C9C_1E572976D134_.wvu.Rows" sId="1"/>
    <undo index="65535" exp="area" ref3D="1" dr="$A$678:$XFD$699" dn="Z_1CA6CCC9_64EF_4CA9_9C9C_1E572976D134_.wvu.Rows" sId="1"/>
    <undo index="65535" exp="area" ref3D="1" dr="$A$613:$XFD$676" dn="Z_1CA6CCC9_64EF_4CA9_9C9C_1E572976D134_.wvu.Rows" sId="1"/>
    <undo index="65535" exp="area" ref3D="1" dr="$A$591:$XFD$611" dn="Z_1CA6CCC9_64EF_4CA9_9C9C_1E572976D134_.wvu.Rows" sId="1"/>
    <undo index="65535" exp="area" ref3D="1" dr="$A$584:$XFD$588" dn="Z_1CA6CCC9_64EF_4CA9_9C9C_1E572976D134_.wvu.Rows" sId="1"/>
    <undo index="65535" exp="area" ref3D="1" dr="$A$562:$XFD$581" dn="Z_1CA6CCC9_64EF_4CA9_9C9C_1E572976D134_.wvu.Rows" sId="1"/>
    <undo index="65535" exp="area" ref3D="1" dr="$A$477:$XFD$560" dn="Z_1CA6CCC9_64EF_4CA9_9C9C_1E572976D134_.wvu.Rows" sId="1"/>
    <undo index="65535" exp="area" ref3D="1" dr="$A$333:$XFD$475" dn="Z_1CA6CCC9_64EF_4CA9_9C9C_1E572976D134_.wvu.Rows" sId="1"/>
  </rrc>
  <rm rId="1725" sheetId="1" source="A334:G334" destination="A335:G335" sourceSheetId="1">
    <rfmt sheetId="1" s="1" sqref="A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335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335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D335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E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F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rc rId="1726" sId="1" ref="A334:XFD334" action="insertRow">
    <undo index="65535" exp="area" ref3D="1" dr="$A$926:$XFD$928" dn="Z_1CA6CCC9_64EF_4CA9_9C9C_1E572976D134_.wvu.Rows" sId="1"/>
    <undo index="65535" exp="area" ref3D="1" dr="$A$921:$XFD$923" dn="Z_1CA6CCC9_64EF_4CA9_9C9C_1E572976D134_.wvu.Rows" sId="1"/>
    <undo index="65535" exp="area" ref3D="1" dr="$A$898:$XFD$918" dn="Z_1CA6CCC9_64EF_4CA9_9C9C_1E572976D134_.wvu.Rows" sId="1"/>
    <undo index="65535" exp="area" ref3D="1" dr="$A$875:$XFD$896" dn="Z_1CA6CCC9_64EF_4CA9_9C9C_1E572976D134_.wvu.Rows" sId="1"/>
    <undo index="65535" exp="area" ref3D="1" dr="$A$869:$XFD$873" dn="Z_1CA6CCC9_64EF_4CA9_9C9C_1E572976D134_.wvu.Rows" sId="1"/>
    <undo index="65535" exp="area" ref3D="1" dr="$A$837:$XFD$866" dn="Z_1CA6CCC9_64EF_4CA9_9C9C_1E572976D134_.wvu.Rows" sId="1"/>
    <undo index="65535" exp="area" ref3D="1" dr="$A$822:$XFD$835" dn="Z_1CA6CCC9_64EF_4CA9_9C9C_1E572976D134_.wvu.Rows" sId="1"/>
    <undo index="65535" exp="area" ref3D="1" dr="$A$818:$XFD$820" dn="Z_1CA6CCC9_64EF_4CA9_9C9C_1E572976D134_.wvu.Rows" sId="1"/>
    <undo index="65535" exp="area" ref3D="1" dr="$A$793:$XFD$814" dn="Z_1CA6CCC9_64EF_4CA9_9C9C_1E572976D134_.wvu.Rows" sId="1"/>
    <undo index="65535" exp="area" ref3D="1" dr="$A$772:$XFD$791" dn="Z_1CA6CCC9_64EF_4CA9_9C9C_1E572976D134_.wvu.Rows" sId="1"/>
    <undo index="65535" exp="area" ref3D="1" dr="$A$720:$XFD$769" dn="Z_1CA6CCC9_64EF_4CA9_9C9C_1E572976D134_.wvu.Rows" sId="1"/>
    <undo index="65535" exp="area" ref3D="1" dr="$A$702:$XFD$718" dn="Z_1CA6CCC9_64EF_4CA9_9C9C_1E572976D134_.wvu.Rows" sId="1"/>
    <undo index="65535" exp="area" ref3D="1" dr="$A$679:$XFD$700" dn="Z_1CA6CCC9_64EF_4CA9_9C9C_1E572976D134_.wvu.Rows" sId="1"/>
    <undo index="65535" exp="area" ref3D="1" dr="$A$614:$XFD$677" dn="Z_1CA6CCC9_64EF_4CA9_9C9C_1E572976D134_.wvu.Rows" sId="1"/>
    <undo index="65535" exp="area" ref3D="1" dr="$A$592:$XFD$612" dn="Z_1CA6CCC9_64EF_4CA9_9C9C_1E572976D134_.wvu.Rows" sId="1"/>
    <undo index="65535" exp="area" ref3D="1" dr="$A$585:$XFD$589" dn="Z_1CA6CCC9_64EF_4CA9_9C9C_1E572976D134_.wvu.Rows" sId="1"/>
    <undo index="65535" exp="area" ref3D="1" dr="$A$563:$XFD$582" dn="Z_1CA6CCC9_64EF_4CA9_9C9C_1E572976D134_.wvu.Rows" sId="1"/>
    <undo index="65535" exp="area" ref3D="1" dr="$A$478:$XFD$561" dn="Z_1CA6CCC9_64EF_4CA9_9C9C_1E572976D134_.wvu.Rows" sId="1"/>
    <undo index="65535" exp="area" ref3D="1" dr="$A$333:$XFD$476" dn="Z_1CA6CCC9_64EF_4CA9_9C9C_1E572976D134_.wvu.Rows" sId="1"/>
  </rrc>
  <rcc rId="1727" sId="1" odxf="1" s="1" dxf="1">
    <nc r="A333" t="inlineStr">
      <is>
        <t>Непрограммные расходы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wrapText="1"/>
    </ndxf>
  </rcc>
  <rcc rId="1728" sId="1" odxf="1" s="1" dxf="1">
    <nc r="A334" t="inlineStr">
      <is>
        <t>Резервный фонд администрации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wrapText="1"/>
    </ndxf>
  </rcc>
  <rcc rId="1729" sId="1" odxf="1" s="1" dxf="1">
    <nc r="A335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horizontal="general" wrapText="1"/>
    </ndxf>
  </rcc>
  <rcc rId="1730" sId="1" odxf="1" s="1" dxf="1">
    <nc r="B333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1" sId="1" odxf="1" s="1" dxf="1">
    <nc r="C333" t="inlineStr">
      <is>
        <t>00 0 00 00000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fmt sheetId="1" s="1" sqref="D33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dxf>
  </rfmt>
  <rcc rId="1732" sId="1" odxf="1" s="1" dxf="1">
    <nc r="B334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3" sId="1" odxf="1" s="1" dxf="1">
    <nc r="C334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fmt sheetId="1" s="1" sqref="D334" start="0" length="0">
    <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4" tint="0.59999389629810485"/>
        </patternFill>
      </fill>
      <alignment horizontal="general"/>
    </dxf>
  </rfmt>
  <rcc rId="1734" sId="1" odxf="1" s="1" dxf="1">
    <nc r="B335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5" sId="1" odxf="1" s="1" dxf="1">
    <nc r="C335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6" sId="1" odxf="1" s="1" dxf="1">
    <nc r="D335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7" sId="1" odxf="1" s="1" dxf="1">
    <nc r="E334">
      <f>+E335</f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cc rId="1738" sId="1" odxf="1" s="1" dxf="1">
    <nc r="F334">
      <f>+F335</f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cc rId="1739" sId="1" odxf="1" s="1" dxf="1">
    <nc r="G334">
      <f>+G335</f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cc rId="1740" sId="1" odxf="1" s="1" dxf="1" numFmtId="4">
    <nc r="E335">
      <v>9837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fmt sheetId="1" s="1" sqref="F335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="1" sqref="G335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qref="E333" start="0" length="0">
    <dxf>
      <numFmt numFmtId="164" formatCode="#,##0.0"/>
    </dxf>
  </rfmt>
  <rfmt sheetId="1" sqref="F333" start="0" length="0">
    <dxf>
      <numFmt numFmtId="164" formatCode="#,##0.0"/>
    </dxf>
  </rfmt>
  <rfmt sheetId="1" sqref="G333" start="0" length="0">
    <dxf>
      <numFmt numFmtId="164" formatCode="#,##0.0"/>
    </dxf>
  </rfmt>
  <rcc rId="1741" sId="1">
    <oc r="E332">
      <f>E336</f>
    </oc>
    <nc r="E332">
      <f>E336+E333</f>
    </nc>
  </rcc>
  <rcc rId="1742" sId="1" odxf="1" dxf="1">
    <oc r="F332">
      <f>F336</f>
    </oc>
    <nc r="F332">
      <f>F336+F333</f>
    </nc>
    <odxf>
      <fill>
        <patternFill patternType="none">
          <bgColor indexed="65"/>
        </patternFill>
      </fill>
    </odxf>
    <ndxf>
      <fill>
        <patternFill patternType="solid">
          <bgColor theme="5" tint="0.59999389629810485"/>
        </patternFill>
      </fill>
    </ndxf>
  </rcc>
  <rcc rId="1743" sId="1" odxf="1" dxf="1">
    <oc r="G332">
      <f>G336</f>
    </oc>
    <nc r="G332">
      <f>G336+G333</f>
    </nc>
    <odxf>
      <fill>
        <patternFill patternType="none">
          <bgColor indexed="65"/>
        </patternFill>
      </fill>
    </odxf>
    <ndxf>
      <fill>
        <patternFill patternType="solid">
          <bgColor theme="5" tint="0.59999389629810485"/>
        </patternFill>
      </fill>
    </ndxf>
  </rcc>
  <rcc rId="1744" sId="1" odxf="1" s="1" dxf="1">
    <nc r="E333">
      <f>+E334</f>
    </nc>
    <ndxf>
      <font>
        <sz val="12"/>
        <color auto="1"/>
        <name val="Times New Roman"/>
        <family val="1"/>
        <scheme val="none"/>
      </font>
      <alignment horizontal="center"/>
    </ndxf>
  </rcc>
  <rcc rId="1745" sId="1" odxf="1" s="1" dxf="1">
    <nc r="F333">
      <f>+F334</f>
    </nc>
    <ndxf>
      <font>
        <sz val="12"/>
        <color auto="1"/>
        <name val="Times New Roman"/>
        <family val="1"/>
        <scheme val="none"/>
      </font>
      <alignment horizontal="center"/>
    </ndxf>
  </rcc>
  <rcc rId="1746" sId="1" odxf="1" s="1" dxf="1">
    <nc r="G333">
      <f>+G334</f>
    </nc>
    <ndxf>
      <font>
        <sz val="12"/>
        <color auto="1"/>
        <name val="Times New Roman"/>
        <family val="1"/>
        <scheme val="none"/>
      </font>
      <alignment horizontal="center"/>
    </ndxf>
  </rcc>
  <rfmt sheetId="1" sqref="E331:G332">
    <dxf>
      <fill>
        <patternFill>
          <bgColor theme="0"/>
        </patternFill>
      </fill>
    </dxf>
  </rfmt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рпр!$C$1:$C$947</formula>
    <oldFormula>рпр!$C$1:$C$947</oldFormula>
  </rdn>
  <rcv guid="{AA62EF5A-85DE-4BC8-95D5-4F54CE8CF3D6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40" start="0" length="0">
    <dxf>
      <fill>
        <patternFill patternType="none">
          <bgColor indexed="65"/>
        </patternFill>
      </fill>
    </dxf>
  </rfmt>
  <rcc rId="1749" sId="1">
    <oc r="E341">
      <f>E342+E459</f>
    </oc>
    <nc r="E341">
      <f>E342+E459</f>
    </nc>
  </rcc>
  <rcc rId="1750" sId="1">
    <oc r="E342">
      <f>E343+E345+E348+E350+E373+E381+E383+E385+E387+E363+E371+E389+E391+E393+E395+E397+E399+E369+E401+E403+E405+E407+E409+E411+E413+E415+E417+E419+E421+E423+E431+E425+E427+E429+E354+E356+E358+E365+E367+E375+E377+E379+E435+E437+E439+E443+E445+E449+E451+E453+E455+E457+E433+E441+E447+E352+E360</f>
    </oc>
    <nc r="E342">
      <f>E343+E345+E348+E350+E373+E381+E383+E385+E387+E363+E371+E389+E391+E393+E395+E397+E399+E369+E401+E403+E405+E407+E409+E411+E413+E415+E417+E419+E421+E423+E431+E425+E427+E429+E354+E356+E358+E365+E367+E375+E377+E379+E435+E437+E439+E443+E445+E449+E451+E453+E455+E457+E433+E441+E447+E352+E360</f>
    </nc>
  </rcc>
  <rcc rId="1751" sId="1">
    <oc r="E343">
      <f>E344</f>
    </oc>
    <nc r="E343">
      <f>E344</f>
    </nc>
  </rcc>
  <rfmt sheetId="1" sqref="E344" start="0" length="0">
    <dxf>
      <fill>
        <patternFill patternType="none">
          <bgColor indexed="65"/>
        </patternFill>
      </fill>
    </dxf>
  </rfmt>
  <rcc rId="1752" sId="1">
    <oc r="E345">
      <f>E347+E346</f>
    </oc>
    <nc r="E345">
      <f>E347+E346</f>
    </nc>
  </rcc>
  <rfmt sheetId="1" sqref="E346" start="0" length="0">
    <dxf>
      <fill>
        <patternFill patternType="none">
          <bgColor indexed="65"/>
        </patternFill>
      </fill>
    </dxf>
  </rfmt>
  <rcc rId="1753" sId="1" odxf="1" dxf="1">
    <oc r="E347">
      <f>8067.5-0.2</f>
    </oc>
    <nc r="E347">
      <f>8067.5-0.2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54" sId="1">
    <oc r="E348">
      <f>E349</f>
    </oc>
    <nc r="E348">
      <f>E349</f>
    </nc>
  </rcc>
  <rfmt sheetId="1" sqref="E349" start="0" length="0">
    <dxf>
      <fill>
        <patternFill patternType="none">
          <bgColor indexed="65"/>
        </patternFill>
      </fill>
    </dxf>
  </rfmt>
  <rcc rId="1755" sId="1">
    <oc r="E350">
      <f>E351</f>
    </oc>
    <nc r="E350">
      <f>E351</f>
    </nc>
  </rcc>
  <rfmt sheetId="1" sqref="E351" start="0" length="0">
    <dxf>
      <fill>
        <patternFill patternType="none">
          <bgColor indexed="65"/>
        </patternFill>
      </fill>
    </dxf>
  </rfmt>
  <rcc rId="1756" sId="1">
    <oc r="E352">
      <f>+E353</f>
    </oc>
    <nc r="E352">
      <f>+E353</f>
    </nc>
  </rcc>
  <rfmt sheetId="1" sqref="E353" start="0" length="0">
    <dxf>
      <fill>
        <patternFill patternType="none">
          <bgColor indexed="65"/>
        </patternFill>
      </fill>
    </dxf>
  </rfmt>
  <rcc rId="1757" sId="1">
    <oc r="E354">
      <f>+E355</f>
    </oc>
    <nc r="E354">
      <f>+E355</f>
    </nc>
  </rcc>
  <rcc rId="1758" sId="1" odxf="1" dxf="1">
    <oc r="E355">
      <f>550-442.1</f>
    </oc>
    <nc r="E355">
      <f>550-442.1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59" sId="1">
    <oc r="E356">
      <f>+E357</f>
    </oc>
    <nc r="E356">
      <f>+E357</f>
    </nc>
  </rcc>
  <rcc rId="1760" sId="1" odxf="1" dxf="1">
    <oc r="E357">
      <f>11.1+0.5</f>
    </oc>
    <nc r="E357">
      <f>11.1+0.5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61" sId="1">
    <oc r="E358">
      <f>+E359</f>
    </oc>
    <nc r="E358">
      <f>+E359</f>
    </nc>
  </rcc>
  <rcc rId="1762" sId="1" odxf="1" dxf="1">
    <oc r="E359">
      <f>775.3+338.8</f>
    </oc>
    <nc r="E359">
      <f>775.3+338.8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63" sId="1">
    <oc r="E360">
      <f>+E361+E362</f>
    </oc>
    <nc r="E360">
      <f>+E361+E362</f>
    </nc>
  </rcc>
  <rfmt sheetId="1" sqref="E361" start="0" length="0">
    <dxf>
      <fill>
        <patternFill patternType="none">
          <bgColor indexed="65"/>
        </patternFill>
      </fill>
    </dxf>
  </rfmt>
  <rfmt sheetId="1" sqref="E362" start="0" length="0">
    <dxf>
      <fill>
        <patternFill patternType="none">
          <bgColor indexed="65"/>
        </patternFill>
      </fill>
    </dxf>
  </rfmt>
  <rcc rId="1764" sId="1">
    <oc r="E363">
      <f>E364</f>
    </oc>
    <nc r="E363">
      <f>E364</f>
    </nc>
  </rcc>
  <rfmt sheetId="1" sqref="E364" start="0" length="0">
    <dxf>
      <fill>
        <patternFill patternType="none">
          <bgColor indexed="65"/>
        </patternFill>
      </fill>
    </dxf>
  </rfmt>
  <rcc rId="1765" sId="1">
    <oc r="E365">
      <f>+E366</f>
    </oc>
    <nc r="E365">
      <f>+E366</f>
    </nc>
  </rcc>
  <rfmt sheetId="1" sqref="E366" start="0" length="0">
    <dxf>
      <fill>
        <patternFill patternType="none">
          <bgColor indexed="65"/>
        </patternFill>
      </fill>
    </dxf>
  </rfmt>
  <rcc rId="1766" sId="1">
    <oc r="E367">
      <f>+E368</f>
    </oc>
    <nc r="E367">
      <f>+E368</f>
    </nc>
  </rcc>
  <rfmt sheetId="1" sqref="E368" start="0" length="0">
    <dxf>
      <fill>
        <patternFill patternType="none">
          <bgColor indexed="65"/>
        </patternFill>
      </fill>
    </dxf>
  </rfmt>
  <rcc rId="1767" sId="1">
    <oc r="E369">
      <f>E370</f>
    </oc>
    <nc r="E369">
      <f>E370</f>
    </nc>
  </rcc>
  <rcc rId="1768" sId="1" odxf="1" dxf="1">
    <oc r="E370">
      <f>11772.9+8.4</f>
    </oc>
    <nc r="E370">
      <f>11772.9+8.4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69" sId="1">
    <oc r="E371">
      <f>E372</f>
    </oc>
    <nc r="E371">
      <f>E372</f>
    </nc>
  </rcc>
  <rcc rId="1770" sId="1" odxf="1" dxf="1">
    <oc r="E372">
      <f>16314-0.5</f>
    </oc>
    <nc r="E372">
      <f>16314-0.5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1" sId="1">
    <oc r="E373">
      <f>E374</f>
    </oc>
    <nc r="E373">
      <f>E374</f>
    </nc>
  </rcc>
  <rfmt sheetId="1" sqref="E374" start="0" length="0">
    <dxf>
      <fill>
        <patternFill patternType="none">
          <bgColor indexed="65"/>
        </patternFill>
      </fill>
    </dxf>
  </rfmt>
  <rcc rId="1772" sId="1">
    <oc r="E375">
      <f>+E376</f>
    </oc>
    <nc r="E375">
      <f>+E376</f>
    </nc>
  </rcc>
  <rcc rId="1773" sId="1" odxf="1" dxf="1">
    <oc r="E376">
      <f>24930.6+1626.1</f>
    </oc>
    <nc r="E376">
      <f>24930.6+1626.1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4" sId="1">
    <oc r="E377">
      <f>+E378</f>
    </oc>
    <nc r="E377">
      <f>+E378</f>
    </nc>
  </rcc>
  <rcc rId="1775" sId="1" odxf="1" dxf="1">
    <oc r="E378">
      <f>21160.8+1380.2</f>
    </oc>
    <nc r="E378">
      <f>21160.8+1380.2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6" sId="1">
    <oc r="E379">
      <f>+E380</f>
    </oc>
    <nc r="E379">
      <f>+E380</f>
    </nc>
  </rcc>
  <rcc rId="1777" sId="1" odxf="1" dxf="1">
    <oc r="E380">
      <f>24858.5+1621.3</f>
    </oc>
    <nc r="E380">
      <f>24858.5+1621.3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8" sId="1">
    <oc r="E381">
      <f>E382</f>
    </oc>
    <nc r="E381">
      <f>E382</f>
    </nc>
  </rcc>
  <rcc rId="1779" sId="1" odxf="1" dxf="1">
    <oc r="E382">
      <f>35728.4-25425.5-722.8</f>
    </oc>
    <nc r="E382">
      <f>35728.4-25425.5-722.8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80" sId="1">
    <oc r="E383">
      <f>E384</f>
    </oc>
    <nc r="E383">
      <f>E384</f>
    </nc>
  </rcc>
  <rcc rId="1781" sId="1" odxf="1" dxf="1">
    <oc r="E384">
      <f>43107.4+10146.6+647.7</f>
    </oc>
    <nc r="E384">
      <f>43107.4+10146.6+647.7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82" sId="1">
    <oc r="E385">
      <f>E386</f>
    </oc>
    <nc r="E385">
      <f>E386</f>
    </nc>
  </rcc>
  <rfmt sheetId="1" sqref="E386" start="0" length="0">
    <dxf>
      <fill>
        <patternFill patternType="none">
          <bgColor indexed="65"/>
        </patternFill>
      </fill>
    </dxf>
  </rfmt>
  <rcc rId="1783" sId="1">
    <oc r="E387">
      <f>E388</f>
    </oc>
    <nc r="E387">
      <f>E388</f>
    </nc>
  </rcc>
  <rfmt sheetId="1" sqref="E388" start="0" length="0">
    <dxf>
      <fill>
        <patternFill patternType="none">
          <bgColor indexed="65"/>
        </patternFill>
      </fill>
    </dxf>
  </rfmt>
  <rcc rId="1784" sId="1">
    <oc r="E389">
      <f>E390</f>
    </oc>
    <nc r="E389">
      <f>E390</f>
    </nc>
  </rcc>
  <rfmt sheetId="1" sqref="E390" start="0" length="0">
    <dxf>
      <fill>
        <patternFill patternType="none">
          <bgColor indexed="65"/>
        </patternFill>
      </fill>
    </dxf>
  </rfmt>
  <rcc rId="1785" sId="1">
    <oc r="E391">
      <f>E392</f>
    </oc>
    <nc r="E391">
      <f>E392</f>
    </nc>
  </rcc>
  <rfmt sheetId="1" sqref="E392" start="0" length="0">
    <dxf>
      <fill>
        <patternFill patternType="none">
          <bgColor indexed="65"/>
        </patternFill>
      </fill>
    </dxf>
  </rfmt>
  <rcc rId="1786" sId="1">
    <oc r="E393">
      <f>E394</f>
    </oc>
    <nc r="E393">
      <f>E394</f>
    </nc>
  </rcc>
  <rcc rId="1787" sId="1">
    <oc r="E394">
      <f>46337.9-43557.6-2780.3</f>
    </oc>
    <nc r="E394">
      <f>46337.9-43557.6-2780.3</f>
    </nc>
  </rcc>
  <rcc rId="1788" sId="1">
    <oc r="E395">
      <f>E396</f>
    </oc>
    <nc r="E395">
      <f>E396</f>
    </nc>
  </rcc>
  <rfmt sheetId="1" sqref="E396" start="0" length="0">
    <dxf>
      <fill>
        <patternFill patternType="none">
          <bgColor indexed="65"/>
        </patternFill>
      </fill>
    </dxf>
  </rfmt>
  <rcc rId="1789" sId="1">
    <oc r="E397">
      <f>E398</f>
    </oc>
    <nc r="E397">
      <f>E398</f>
    </nc>
  </rcc>
  <rfmt sheetId="1" sqref="E398" start="0" length="0">
    <dxf>
      <fill>
        <patternFill patternType="none">
          <bgColor indexed="65"/>
        </patternFill>
      </fill>
    </dxf>
  </rfmt>
  <rcc rId="1790" sId="1">
    <oc r="E399">
      <f>E400</f>
    </oc>
    <nc r="E399">
      <f>E400</f>
    </nc>
  </rcc>
  <rfmt sheetId="1" sqref="E400" start="0" length="0">
    <dxf>
      <fill>
        <patternFill patternType="none">
          <bgColor indexed="65"/>
        </patternFill>
      </fill>
    </dxf>
  </rfmt>
  <rcc rId="1791" sId="1">
    <oc r="E401">
      <f>E402</f>
    </oc>
    <nc r="E401">
      <f>E402</f>
    </nc>
  </rcc>
  <rfmt sheetId="1" sqref="E402" start="0" length="0">
    <dxf>
      <fill>
        <patternFill patternType="none">
          <bgColor indexed="65"/>
        </patternFill>
      </fill>
    </dxf>
  </rfmt>
  <rcc rId="1792" sId="1">
    <oc r="E403">
      <f>E404</f>
    </oc>
    <nc r="E403">
      <f>E404</f>
    </nc>
  </rcc>
  <rfmt sheetId="1" sqref="E404" start="0" length="0">
    <dxf>
      <fill>
        <patternFill patternType="none">
          <bgColor indexed="65"/>
        </patternFill>
      </fill>
    </dxf>
  </rfmt>
  <rcc rId="1793" sId="1">
    <oc r="E405">
      <f>E406</f>
    </oc>
    <nc r="E405">
      <f>E406</f>
    </nc>
  </rcc>
  <rfmt sheetId="1" sqref="E406" start="0" length="0">
    <dxf>
      <fill>
        <patternFill patternType="none">
          <bgColor indexed="65"/>
        </patternFill>
      </fill>
    </dxf>
  </rfmt>
  <rcc rId="1794" sId="1">
    <oc r="E407">
      <f>E408</f>
    </oc>
    <nc r="E407">
      <f>E408</f>
    </nc>
  </rcc>
  <rcc rId="1795" sId="1" odxf="1" dxf="1">
    <oc r="E408">
      <f>37054.3+3359.7+214.4</f>
    </oc>
    <nc r="E408">
      <f>37054.3+3359.7+214.4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96" sId="1">
    <oc r="E409">
      <f>E410</f>
    </oc>
    <nc r="E409">
      <f>E410</f>
    </nc>
  </rcc>
  <rfmt sheetId="1" sqref="E410" start="0" length="0">
    <dxf>
      <fill>
        <patternFill patternType="none">
          <bgColor indexed="65"/>
        </patternFill>
      </fill>
    </dxf>
  </rfmt>
  <rcc rId="1797" sId="1">
    <oc r="E411">
      <f>E412</f>
    </oc>
    <nc r="E411">
      <f>E412</f>
    </nc>
  </rcc>
  <rfmt sheetId="1" sqref="E412" start="0" length="0">
    <dxf>
      <fill>
        <patternFill patternType="none">
          <bgColor indexed="65"/>
        </patternFill>
      </fill>
    </dxf>
  </rfmt>
  <rcc rId="1798" sId="1">
    <oc r="E413">
      <f>E414</f>
    </oc>
    <nc r="E413">
      <f>E414</f>
    </nc>
  </rcc>
  <rcc rId="1799" sId="1" odxf="1" dxf="1">
    <oc r="E414">
      <f>57328.3-10538.6-672.7</f>
    </oc>
    <nc r="E414">
      <f>57328.3-10538.6-672.7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00" sId="1">
    <oc r="E415">
      <f>E416</f>
    </oc>
    <nc r="E415">
      <f>E416</f>
    </nc>
  </rcc>
  <rcc rId="1801" sId="1" odxf="1" dxf="1">
    <oc r="E416">
      <f>33723+10538.6+672.7</f>
    </oc>
    <nc r="E416">
      <f>33723+10538.6+672.7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02" sId="1">
    <oc r="E417">
      <f>E418</f>
    </oc>
    <nc r="E417">
      <f>E418</f>
    </nc>
  </rcc>
  <rfmt sheetId="1" sqref="E418" start="0" length="0">
    <dxf>
      <fill>
        <patternFill patternType="none">
          <bgColor indexed="65"/>
        </patternFill>
      </fill>
    </dxf>
  </rfmt>
  <rcc rId="1803" sId="1">
    <oc r="E419">
      <f>E420</f>
    </oc>
    <nc r="E419">
      <f>E420</f>
    </nc>
  </rcc>
  <rfmt sheetId="1" sqref="E420" start="0" length="0">
    <dxf>
      <fill>
        <patternFill patternType="none">
          <bgColor indexed="65"/>
        </patternFill>
      </fill>
    </dxf>
  </rfmt>
  <rcc rId="1804" sId="1">
    <oc r="E421">
      <f>E422</f>
    </oc>
    <nc r="E421">
      <f>E422</f>
    </nc>
  </rcc>
  <rfmt sheetId="1" sqref="E422" start="0" length="0">
    <dxf>
      <fill>
        <patternFill patternType="none">
          <bgColor indexed="65"/>
        </patternFill>
      </fill>
    </dxf>
  </rfmt>
  <rcc rId="1805" sId="1">
    <oc r="E423">
      <f>E424</f>
    </oc>
    <nc r="E423">
      <f>E424</f>
    </nc>
  </rcc>
  <rfmt sheetId="1" sqref="E424" start="0" length="0">
    <dxf>
      <fill>
        <patternFill patternType="none">
          <bgColor indexed="65"/>
        </patternFill>
      </fill>
    </dxf>
  </rfmt>
  <rcc rId="1806" sId="1">
    <oc r="E425">
      <f>E426</f>
    </oc>
    <nc r="E425">
      <f>E426</f>
    </nc>
  </rcc>
  <rfmt sheetId="1" sqref="E426" start="0" length="0">
    <dxf>
      <fill>
        <patternFill patternType="none">
          <bgColor indexed="65"/>
        </patternFill>
      </fill>
    </dxf>
  </rfmt>
  <rcc rId="1807" sId="1">
    <oc r="E427">
      <f>E428</f>
    </oc>
    <nc r="E427">
      <f>E428</f>
    </nc>
  </rcc>
  <rfmt sheetId="1" sqref="E428" start="0" length="0">
    <dxf>
      <fill>
        <patternFill patternType="none">
          <bgColor indexed="65"/>
        </patternFill>
      </fill>
    </dxf>
  </rfmt>
  <rcc rId="1808" sId="1">
    <oc r="E429">
      <f>E430</f>
    </oc>
    <nc r="E429">
      <f>E430</f>
    </nc>
  </rcc>
  <rcc rId="1809" sId="1" odxf="1" dxf="1">
    <oc r="E430">
      <f>22302.5+69.9+1095.4</f>
    </oc>
    <nc r="E430">
      <f>22302.5+69.9+1095.4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0" sId="1">
    <oc r="E431">
      <f>E432</f>
    </oc>
    <nc r="E431">
      <f>E432</f>
    </nc>
  </rcc>
  <rfmt sheetId="1" sqref="E432" start="0" length="0">
    <dxf>
      <fill>
        <patternFill patternType="none">
          <bgColor indexed="65"/>
        </patternFill>
      </fill>
    </dxf>
  </rfmt>
  <rcc rId="1811" sId="1">
    <oc r="E433">
      <f>+E434</f>
    </oc>
    <nc r="E433">
      <f>+E434</f>
    </nc>
  </rcc>
  <rcc rId="1812" sId="1" odxf="1" dxf="1">
    <oc r="E434">
      <f>270.4+4236.5</f>
    </oc>
    <nc r="E434">
      <f>270.4+4236.5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3" sId="1">
    <oc r="E435">
      <f>+E436</f>
    </oc>
    <nc r="E435">
      <f>+E436</f>
    </nc>
  </rcc>
  <rcc rId="1814" sId="1" odxf="1" dxf="1">
    <oc r="E436">
      <f>30+470.6</f>
    </oc>
    <nc r="E436">
      <f>30+470.6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5" sId="1">
    <oc r="E437">
      <f>+E438</f>
    </oc>
    <nc r="E437">
      <f>+E438</f>
    </nc>
  </rcc>
  <rcc rId="1816" sId="1" odxf="1" dxf="1">
    <oc r="E438">
      <f>29.8+467.1</f>
    </oc>
    <nc r="E438">
      <f>29.8+467.1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7" sId="1">
    <oc r="E439">
      <f>+E440</f>
    </oc>
    <nc r="E439">
      <f>+E440</f>
    </nc>
  </rcc>
  <rcc rId="1818" sId="1" odxf="1" dxf="1">
    <oc r="E440">
      <f>7+110.1</f>
    </oc>
    <nc r="E440">
      <f>7+110.1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9" sId="1">
    <oc r="E441">
      <f>+E442</f>
    </oc>
    <nc r="E441">
      <f>+E442</f>
    </nc>
  </rcc>
  <rcc rId="1820" sId="1" odxf="1" dxf="1">
    <oc r="E442">
      <f>31.4+491.6</f>
    </oc>
    <nc r="E442">
      <f>31.4+491.6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1" sId="1">
    <oc r="E443">
      <f>+E444</f>
    </oc>
    <nc r="E443">
      <f>+E444</f>
    </nc>
  </rcc>
  <rcc rId="1822" sId="1" odxf="1" dxf="1">
    <oc r="E444">
      <f>35.9+562.2</f>
    </oc>
    <nc r="E444">
      <f>35.9+562.2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3" sId="1">
    <oc r="E445">
      <f>+E446</f>
    </oc>
    <nc r="E445">
      <f>+E446</f>
    </nc>
  </rcc>
  <rcc rId="1824" sId="1" odxf="1" dxf="1">
    <oc r="E446">
      <f>16.4+257.7</f>
    </oc>
    <nc r="E446">
      <f>16.4+257.7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5" sId="1">
    <oc r="E447">
      <f>+E448</f>
    </oc>
    <nc r="E447">
      <f>+E448</f>
    </nc>
  </rcc>
  <rcc rId="1826" sId="1" odxf="1" dxf="1">
    <oc r="E448">
      <f>426.1+6675.7</f>
    </oc>
    <nc r="E448">
      <f>426.1+6675.7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7" sId="1">
    <oc r="E449">
      <f>+E450</f>
    </oc>
    <nc r="E449">
      <f>+E450</f>
    </nc>
  </rcc>
  <rcc rId="1828" sId="1" odxf="1" dxf="1">
    <oc r="E450">
      <f>34.7+543.1</f>
    </oc>
    <nc r="E450">
      <f>34.7+543.1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9" sId="1">
    <oc r="E451">
      <f>+E452</f>
    </oc>
    <nc r="E451">
      <f>+E452</f>
    </nc>
  </rcc>
  <rcc rId="1830" sId="1" odxf="1" dxf="1">
    <oc r="E452">
      <f>34.5+540.7</f>
    </oc>
    <nc r="E452">
      <f>34.5+540.7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1" sId="1">
    <oc r="E453">
      <f>+E454</f>
    </oc>
    <nc r="E453">
      <f>+E454</f>
    </nc>
  </rcc>
  <rcc rId="1832" sId="1" odxf="1" dxf="1">
    <oc r="E454">
      <f>34.8+545.6</f>
    </oc>
    <nc r="E454">
      <f>34.8+545.6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3" sId="1">
    <oc r="E455">
      <f>+E456</f>
    </oc>
    <nc r="E455">
      <f>+E456</f>
    </nc>
  </rcc>
  <rcc rId="1834" sId="1" odxf="1" dxf="1">
    <oc r="E456">
      <f>1584.1+24817.7</f>
    </oc>
    <nc r="E456">
      <f>1584.1+24817.7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5" sId="1">
    <oc r="E457">
      <f>+E458</f>
    </oc>
    <nc r="E457">
      <f>+E458</f>
    </nc>
  </rcc>
  <rcc rId="1836" sId="1" odxf="1" dxf="1">
    <oc r="E458">
      <f>35.9+562.8</f>
    </oc>
    <nc r="E458">
      <f>35.9+562.8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7" sId="1">
    <oc r="E459">
      <f>E460</f>
    </oc>
    <nc r="E459">
      <f>E460</f>
    </nc>
  </rcc>
  <rcc rId="1838" sId="1">
    <oc r="E460">
      <f>E461</f>
    </oc>
    <nc r="E460">
      <f>E461</f>
    </nc>
  </rcc>
  <rcc rId="1839" sId="1" odxf="1" dxf="1">
    <oc r="E461">
      <f>8096.1+9238.6</f>
    </oc>
    <nc r="E461">
      <f>8096.1+9238.6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40" sId="1">
    <oc r="E462">
      <f>E463+E473</f>
    </oc>
    <nc r="E462">
      <f>E463+E473</f>
    </nc>
  </rcc>
  <rcc rId="1841" sId="1">
    <oc r="E463">
      <f>E3040+E469+E471+E466+E464</f>
    </oc>
    <nc r="E463">
      <f>E3040+E469+E471+E466+E464</f>
    </nc>
  </rcc>
  <rcc rId="1842" sId="1">
    <oc r="E464">
      <f>E465</f>
    </oc>
    <nc r="E464">
      <f>E465</f>
    </nc>
  </rcc>
  <rcc rId="1843" sId="1" odxf="1" dxf="1">
    <oc r="E465">
      <f>4371.1+542.1+2059.8</f>
    </oc>
    <nc r="E465">
      <f>4371.1+542.1+2059.8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44" sId="1">
    <oc r="E466">
      <f>SUM(E467:E468)</f>
    </oc>
    <nc r="E466">
      <f>SUM(E467:E468)</f>
    </nc>
  </rcc>
  <rfmt sheetId="1" sqref="E467" start="0" length="0">
    <dxf>
      <fill>
        <patternFill patternType="none">
          <bgColor indexed="65"/>
        </patternFill>
      </fill>
    </dxf>
  </rfmt>
  <rfmt sheetId="1" sqref="E468" start="0" length="0">
    <dxf>
      <fill>
        <patternFill patternType="none">
          <bgColor indexed="65"/>
        </patternFill>
      </fill>
    </dxf>
  </rfmt>
  <rcc rId="1845" sId="1">
    <oc r="E469">
      <f>E470</f>
    </oc>
    <nc r="E469">
      <f>E470</f>
    </nc>
  </rcc>
  <rfmt sheetId="1" sqref="E470" start="0" length="0">
    <dxf>
      <fill>
        <patternFill patternType="none">
          <bgColor indexed="65"/>
        </patternFill>
      </fill>
    </dxf>
  </rfmt>
  <rcc rId="1846" sId="1">
    <oc r="E471">
      <f>E472</f>
    </oc>
    <nc r="E471">
      <f>E472</f>
    </nc>
  </rcc>
  <rfmt sheetId="1" sqref="E472" start="0" length="0">
    <dxf>
      <fill>
        <patternFill patternType="none">
          <bgColor indexed="65"/>
        </patternFill>
      </fill>
    </dxf>
  </rfmt>
  <rcc rId="1847" sId="1">
    <oc r="E473">
      <f>E474+E476</f>
    </oc>
    <nc r="E473">
      <f>E474+E476</f>
    </nc>
  </rcc>
  <rcc rId="1848" sId="1">
    <oc r="E474">
      <f>E475</f>
    </oc>
    <nc r="E474">
      <f>E475</f>
    </nc>
  </rcc>
  <rfmt sheetId="1" sqref="E475" start="0" length="0">
    <dxf>
      <fill>
        <patternFill patternType="none">
          <bgColor indexed="65"/>
        </patternFill>
      </fill>
    </dxf>
  </rfmt>
  <rcc rId="1849" sId="1">
    <oc r="E476">
      <f>E477</f>
    </oc>
    <nc r="E476">
      <f>E477</f>
    </nc>
  </rcc>
  <rfmt sheetId="1" sqref="E477" start="0" length="0">
    <dxf>
      <fill>
        <patternFill patternType="none">
          <bgColor indexed="65"/>
        </patternFill>
      </fill>
    </dxf>
  </rfmt>
  <rfmt sheetId="1" s="1" sqref="A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  <alignment horizontal="general"/>
    </dxf>
  </rfmt>
  <rfmt sheetId="1" s="1" sqref="A33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  <alignment horizontal="general"/>
    </dxf>
  </rfmt>
  <rfmt sheetId="1" s="1" sqref="B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B33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33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334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bgColor indexed="65"/>
        </patternFill>
      </fill>
      <alignment horizontal="center"/>
    </dxf>
  </rfmt>
  <rfmt sheetId="1" s="1" sqref="B335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335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335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qref="A393" start="0" length="0">
    <dxf>
      <fill>
        <patternFill patternType="none">
          <bgColor indexed="65"/>
        </patternFill>
      </fill>
    </dxf>
  </rfmt>
  <rfmt sheetId="1" sqref="A394" start="0" length="0">
    <dxf>
      <fill>
        <patternFill patternType="none">
          <bgColor indexed="65"/>
        </patternFill>
      </fill>
    </dxf>
  </rfmt>
  <rfmt sheetId="1" sqref="E509">
    <dxf>
      <fill>
        <patternFill patternType="solid">
          <bgColor theme="9" tint="0.79998168889431442"/>
        </patternFill>
      </fill>
    </dxf>
  </rfmt>
  <rcc rId="1850" sId="1">
    <oc r="E521">
      <f>128832.5+2008.8+15000+1595.7+25000+822</f>
    </oc>
    <nc r="E521">
      <f>128832.5+2008.8+15000+1595.7+25000+822+1595.7</f>
    </nc>
  </rcc>
  <rfmt sheetId="1" sqref="E515">
    <dxf>
      <fill>
        <patternFill patternType="solid">
          <bgColor rgb="FF92D050"/>
        </patternFill>
      </fill>
    </dxf>
  </rfmt>
  <rfmt sheetId="1" sqref="E521">
    <dxf>
      <fill>
        <patternFill patternType="solid">
          <bgColor rgb="FF92D050"/>
        </patternFill>
      </fill>
    </dxf>
  </rfmt>
  <rfmt sheetId="1" sqref="E521">
    <dxf>
      <fill>
        <patternFill>
          <bgColor theme="9" tint="0.79998168889431442"/>
        </patternFill>
      </fill>
    </dxf>
  </rfmt>
  <rfmt sheetId="1" sqref="E515">
    <dxf>
      <fill>
        <patternFill>
          <bgColor theme="9" tint="0.79998168889431442"/>
        </patternFill>
      </fill>
    </dxf>
  </rfmt>
  <rfmt sheetId="1" sqref="E511">
    <dxf>
      <fill>
        <patternFill patternType="solid">
          <bgColor theme="9" tint="0.79998168889431442"/>
        </patternFill>
      </fill>
    </dxf>
  </rfmt>
  <rfmt sheetId="1" sqref="E558 E560 E562">
    <dxf>
      <fill>
        <patternFill patternType="solid">
          <bgColor theme="9" tint="0.79998168889431442"/>
        </patternFill>
      </fill>
    </dxf>
  </rfmt>
  <rfmt sheetId="1" sqref="E556">
    <dxf>
      <fill>
        <patternFill patternType="solid">
          <bgColor theme="9" tint="0.79998168889431442"/>
        </patternFill>
      </fill>
    </dxf>
  </rfmt>
  <rfmt sheetId="1" sqref="E554 E552">
    <dxf>
      <fill>
        <patternFill patternType="solid">
          <bgColor theme="9" tint="0.79998168889431442"/>
        </patternFill>
      </fill>
    </dxf>
  </rfmt>
  <rfmt sheetId="1" sqref="E550 E548 E546">
    <dxf>
      <fill>
        <patternFill patternType="solid">
          <bgColor theme="9" tint="0.79998168889431442"/>
        </patternFill>
      </fill>
    </dxf>
  </rfmt>
  <rfmt sheetId="1" sqref="E544 E542 E540">
    <dxf>
      <fill>
        <patternFill patternType="solid">
          <bgColor theme="9" tint="0.79998168889431442"/>
        </patternFill>
      </fill>
    </dxf>
  </rfmt>
  <rfmt sheetId="1" sqref="E538 E536 E534">
    <dxf>
      <fill>
        <patternFill patternType="solid">
          <bgColor theme="9" tint="0.79998168889431442"/>
        </patternFill>
      </fill>
    </dxf>
  </rfmt>
  <rfmt sheetId="1" sqref="E532">
    <dxf>
      <fill>
        <patternFill patternType="solid">
          <bgColor theme="9" tint="0.79998168889431442"/>
        </patternFill>
      </fill>
    </dxf>
  </rfmt>
  <rfmt sheetId="1" sqref="E530">
    <dxf>
      <fill>
        <patternFill patternType="solid">
          <bgColor theme="9" tint="0.79998168889431442"/>
        </patternFill>
      </fill>
    </dxf>
  </rfmt>
  <rfmt sheetId="1" sqref="E529">
    <dxf>
      <fill>
        <patternFill patternType="solid">
          <bgColor theme="9" tint="0.79998168889431442"/>
        </patternFill>
      </fill>
    </dxf>
  </rfmt>
  <rfmt sheetId="1" sqref="E527 E525">
    <dxf>
      <fill>
        <patternFill patternType="solid">
          <bgColor theme="9" tint="0.79998168889431442"/>
        </patternFill>
      </fill>
    </dxf>
  </rfmt>
  <rfmt sheetId="1" sqref="E518">
    <dxf>
      <fill>
        <patternFill patternType="solid">
          <bgColor theme="9" tint="0.79998168889431442"/>
        </patternFill>
      </fill>
    </dxf>
  </rfmt>
  <rfmt sheetId="1" sqref="E517">
    <dxf>
      <fill>
        <patternFill patternType="solid">
          <bgColor theme="9" tint="0.79998168889431442"/>
        </patternFill>
      </fill>
    </dxf>
  </rfmt>
  <rfmt sheetId="1" sqref="E513">
    <dxf>
      <fill>
        <patternFill patternType="solid">
          <bgColor theme="9" tint="0.79998168889431442"/>
        </patternFill>
      </fill>
    </dxf>
  </rfmt>
  <rrc rId="1851" sId="1" ref="A480:XFD480" action="insertRow">
    <undo index="65535" exp="area" ref3D="1" dr="$A$927:$XFD$929" dn="Z_1CA6CCC9_64EF_4CA9_9C9C_1E572976D134_.wvu.Rows" sId="1"/>
    <undo index="65535" exp="area" ref3D="1" dr="$A$922:$XFD$924" dn="Z_1CA6CCC9_64EF_4CA9_9C9C_1E572976D134_.wvu.Rows" sId="1"/>
    <undo index="65535" exp="area" ref3D="1" dr="$A$899:$XFD$919" dn="Z_1CA6CCC9_64EF_4CA9_9C9C_1E572976D134_.wvu.Rows" sId="1"/>
    <undo index="65535" exp="area" ref3D="1" dr="$A$876:$XFD$897" dn="Z_1CA6CCC9_64EF_4CA9_9C9C_1E572976D134_.wvu.Rows" sId="1"/>
    <undo index="65535" exp="area" ref3D="1" dr="$A$870:$XFD$874" dn="Z_1CA6CCC9_64EF_4CA9_9C9C_1E572976D134_.wvu.Rows" sId="1"/>
    <undo index="65535" exp="area" ref3D="1" dr="$A$838:$XFD$867" dn="Z_1CA6CCC9_64EF_4CA9_9C9C_1E572976D134_.wvu.Rows" sId="1"/>
    <undo index="65535" exp="area" ref3D="1" dr="$A$823:$XFD$836" dn="Z_1CA6CCC9_64EF_4CA9_9C9C_1E572976D134_.wvu.Rows" sId="1"/>
    <undo index="65535" exp="area" ref3D="1" dr="$A$819:$XFD$821" dn="Z_1CA6CCC9_64EF_4CA9_9C9C_1E572976D134_.wvu.Rows" sId="1"/>
    <undo index="65535" exp="area" ref3D="1" dr="$A$794:$XFD$815" dn="Z_1CA6CCC9_64EF_4CA9_9C9C_1E572976D134_.wvu.Rows" sId="1"/>
    <undo index="65535" exp="area" ref3D="1" dr="$A$773:$XFD$792" dn="Z_1CA6CCC9_64EF_4CA9_9C9C_1E572976D134_.wvu.Rows" sId="1"/>
    <undo index="65535" exp="area" ref3D="1" dr="$A$721:$XFD$770" dn="Z_1CA6CCC9_64EF_4CA9_9C9C_1E572976D134_.wvu.Rows" sId="1"/>
    <undo index="65535" exp="area" ref3D="1" dr="$A$703:$XFD$719" dn="Z_1CA6CCC9_64EF_4CA9_9C9C_1E572976D134_.wvu.Rows" sId="1"/>
    <undo index="65535" exp="area" ref3D="1" dr="$A$680:$XFD$701" dn="Z_1CA6CCC9_64EF_4CA9_9C9C_1E572976D134_.wvu.Rows" sId="1"/>
    <undo index="65535" exp="area" ref3D="1" dr="$A$615:$XFD$678" dn="Z_1CA6CCC9_64EF_4CA9_9C9C_1E572976D134_.wvu.Rows" sId="1"/>
    <undo index="65535" exp="area" ref3D="1" dr="$A$593:$XFD$613" dn="Z_1CA6CCC9_64EF_4CA9_9C9C_1E572976D134_.wvu.Rows" sId="1"/>
    <undo index="65535" exp="area" ref3D="1" dr="$A$586:$XFD$590" dn="Z_1CA6CCC9_64EF_4CA9_9C9C_1E572976D134_.wvu.Rows" sId="1"/>
    <undo index="65535" exp="area" ref3D="1" dr="$A$564:$XFD$583" dn="Z_1CA6CCC9_64EF_4CA9_9C9C_1E572976D134_.wvu.Rows" sId="1"/>
    <undo index="65535" exp="area" ref3D="1" dr="$A$479:$XFD$562" dn="Z_1CA6CCC9_64EF_4CA9_9C9C_1E572976D134_.wvu.Rows" sId="1"/>
  </rrc>
  <rrc rId="1852" sId="1" ref="A480:XFD480" action="insertRow">
    <undo index="65535" exp="area" ref3D="1" dr="$A$928:$XFD$930" dn="Z_1CA6CCC9_64EF_4CA9_9C9C_1E572976D134_.wvu.Rows" sId="1"/>
    <undo index="65535" exp="area" ref3D="1" dr="$A$923:$XFD$925" dn="Z_1CA6CCC9_64EF_4CA9_9C9C_1E572976D134_.wvu.Rows" sId="1"/>
    <undo index="65535" exp="area" ref3D="1" dr="$A$900:$XFD$920" dn="Z_1CA6CCC9_64EF_4CA9_9C9C_1E572976D134_.wvu.Rows" sId="1"/>
    <undo index="65535" exp="area" ref3D="1" dr="$A$877:$XFD$898" dn="Z_1CA6CCC9_64EF_4CA9_9C9C_1E572976D134_.wvu.Rows" sId="1"/>
    <undo index="65535" exp="area" ref3D="1" dr="$A$871:$XFD$875" dn="Z_1CA6CCC9_64EF_4CA9_9C9C_1E572976D134_.wvu.Rows" sId="1"/>
    <undo index="65535" exp="area" ref3D="1" dr="$A$839:$XFD$868" dn="Z_1CA6CCC9_64EF_4CA9_9C9C_1E572976D134_.wvu.Rows" sId="1"/>
    <undo index="65535" exp="area" ref3D="1" dr="$A$824:$XFD$837" dn="Z_1CA6CCC9_64EF_4CA9_9C9C_1E572976D134_.wvu.Rows" sId="1"/>
    <undo index="65535" exp="area" ref3D="1" dr="$A$820:$XFD$822" dn="Z_1CA6CCC9_64EF_4CA9_9C9C_1E572976D134_.wvu.Rows" sId="1"/>
    <undo index="65535" exp="area" ref3D="1" dr="$A$795:$XFD$816" dn="Z_1CA6CCC9_64EF_4CA9_9C9C_1E572976D134_.wvu.Rows" sId="1"/>
    <undo index="65535" exp="area" ref3D="1" dr="$A$774:$XFD$793" dn="Z_1CA6CCC9_64EF_4CA9_9C9C_1E572976D134_.wvu.Rows" sId="1"/>
    <undo index="65535" exp="area" ref3D="1" dr="$A$722:$XFD$771" dn="Z_1CA6CCC9_64EF_4CA9_9C9C_1E572976D134_.wvu.Rows" sId="1"/>
    <undo index="65535" exp="area" ref3D="1" dr="$A$704:$XFD$720" dn="Z_1CA6CCC9_64EF_4CA9_9C9C_1E572976D134_.wvu.Rows" sId="1"/>
    <undo index="65535" exp="area" ref3D="1" dr="$A$681:$XFD$702" dn="Z_1CA6CCC9_64EF_4CA9_9C9C_1E572976D134_.wvu.Rows" sId="1"/>
    <undo index="65535" exp="area" ref3D="1" dr="$A$616:$XFD$679" dn="Z_1CA6CCC9_64EF_4CA9_9C9C_1E572976D134_.wvu.Rows" sId="1"/>
    <undo index="65535" exp="area" ref3D="1" dr="$A$594:$XFD$614" dn="Z_1CA6CCC9_64EF_4CA9_9C9C_1E572976D134_.wvu.Rows" sId="1"/>
    <undo index="65535" exp="area" ref3D="1" dr="$A$587:$XFD$591" dn="Z_1CA6CCC9_64EF_4CA9_9C9C_1E572976D134_.wvu.Rows" sId="1"/>
    <undo index="65535" exp="area" ref3D="1" dr="$A$565:$XFD$584" dn="Z_1CA6CCC9_64EF_4CA9_9C9C_1E572976D134_.wvu.Rows" sId="1"/>
    <undo index="65535" exp="area" ref3D="1" dr="$A$479:$XFD$563" dn="Z_1CA6CCC9_64EF_4CA9_9C9C_1E572976D134_.wvu.Rows" sId="1"/>
  </rrc>
  <rrc rId="1853" sId="1" ref="A480:XFD480" action="insertRow">
    <undo index="65535" exp="area" ref3D="1" dr="$A$929:$XFD$931" dn="Z_1CA6CCC9_64EF_4CA9_9C9C_1E572976D134_.wvu.Rows" sId="1"/>
    <undo index="65535" exp="area" ref3D="1" dr="$A$924:$XFD$926" dn="Z_1CA6CCC9_64EF_4CA9_9C9C_1E572976D134_.wvu.Rows" sId="1"/>
    <undo index="65535" exp="area" ref3D="1" dr="$A$901:$XFD$921" dn="Z_1CA6CCC9_64EF_4CA9_9C9C_1E572976D134_.wvu.Rows" sId="1"/>
    <undo index="65535" exp="area" ref3D="1" dr="$A$878:$XFD$899" dn="Z_1CA6CCC9_64EF_4CA9_9C9C_1E572976D134_.wvu.Rows" sId="1"/>
    <undo index="65535" exp="area" ref3D="1" dr="$A$872:$XFD$876" dn="Z_1CA6CCC9_64EF_4CA9_9C9C_1E572976D134_.wvu.Rows" sId="1"/>
    <undo index="65535" exp="area" ref3D="1" dr="$A$840:$XFD$869" dn="Z_1CA6CCC9_64EF_4CA9_9C9C_1E572976D134_.wvu.Rows" sId="1"/>
    <undo index="65535" exp="area" ref3D="1" dr="$A$825:$XFD$838" dn="Z_1CA6CCC9_64EF_4CA9_9C9C_1E572976D134_.wvu.Rows" sId="1"/>
    <undo index="65535" exp="area" ref3D="1" dr="$A$821:$XFD$823" dn="Z_1CA6CCC9_64EF_4CA9_9C9C_1E572976D134_.wvu.Rows" sId="1"/>
    <undo index="65535" exp="area" ref3D="1" dr="$A$796:$XFD$817" dn="Z_1CA6CCC9_64EF_4CA9_9C9C_1E572976D134_.wvu.Rows" sId="1"/>
    <undo index="65535" exp="area" ref3D="1" dr="$A$775:$XFD$794" dn="Z_1CA6CCC9_64EF_4CA9_9C9C_1E572976D134_.wvu.Rows" sId="1"/>
    <undo index="65535" exp="area" ref3D="1" dr="$A$723:$XFD$772" dn="Z_1CA6CCC9_64EF_4CA9_9C9C_1E572976D134_.wvu.Rows" sId="1"/>
    <undo index="65535" exp="area" ref3D="1" dr="$A$705:$XFD$721" dn="Z_1CA6CCC9_64EF_4CA9_9C9C_1E572976D134_.wvu.Rows" sId="1"/>
    <undo index="65535" exp="area" ref3D="1" dr="$A$682:$XFD$703" dn="Z_1CA6CCC9_64EF_4CA9_9C9C_1E572976D134_.wvu.Rows" sId="1"/>
    <undo index="65535" exp="area" ref3D="1" dr="$A$617:$XFD$680" dn="Z_1CA6CCC9_64EF_4CA9_9C9C_1E572976D134_.wvu.Rows" sId="1"/>
    <undo index="65535" exp="area" ref3D="1" dr="$A$595:$XFD$615" dn="Z_1CA6CCC9_64EF_4CA9_9C9C_1E572976D134_.wvu.Rows" sId="1"/>
    <undo index="65535" exp="area" ref3D="1" dr="$A$588:$XFD$592" dn="Z_1CA6CCC9_64EF_4CA9_9C9C_1E572976D134_.wvu.Rows" sId="1"/>
    <undo index="65535" exp="area" ref3D="1" dr="$A$566:$XFD$585" dn="Z_1CA6CCC9_64EF_4CA9_9C9C_1E572976D134_.wvu.Rows" sId="1"/>
    <undo index="65535" exp="area" ref3D="1" dr="$A$479:$XFD$564" dn="Z_1CA6CCC9_64EF_4CA9_9C9C_1E572976D134_.wvu.Rows" sId="1"/>
  </rrc>
  <rm rId="1854" sheetId="1" source="A479:G479" destination="A482:G482" sourceSheetId="1">
    <undo index="65535" exp="area" ref3D="1" dr="$A$479:$XFD$565" dn="Z_1CA6CCC9_64EF_4CA9_9C9C_1E572976D134_.wvu.Rows" sId="1"/>
    <rfmt sheetId="1" sqref="A482" start="0" length="0">
      <dxf>
        <font>
          <sz val="12"/>
          <color auto="1"/>
          <name val="Times New Roman"/>
          <family val="1"/>
          <charset val="204"/>
          <scheme val="none"/>
        </font>
        <alignment vertical="top" wrapText="1"/>
      </dxf>
    </rfmt>
    <rfmt sheetId="1" s="1" sqref="B482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C48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D48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E48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F48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48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cc rId="1855" sId="1" odxf="1" s="1" dxf="1">
    <nc r="A479" t="inlineStr">
      <is>
        <t>Непрограммные расходы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wrapText="1"/>
    </ndxf>
  </rcc>
  <rcc rId="1856" sId="1" odxf="1" s="1" dxf="1">
    <nc r="A480" t="inlineStr">
      <is>
        <t>Резервный фонд администрации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horizontal="left"/>
    </ndxf>
  </rcc>
  <rcc rId="1857" sId="1" odxf="1" s="1" dxf="1">
    <nc r="A481" t="inlineStr">
      <is>
        <t>Предоставление субсидий бюджетным, автономным учреждениям и иным некоммерческим организациям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858" sId="1" odxf="1" s="1" dxf="1">
    <nc r="B479" t="inlineStr">
      <is>
        <t>0503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859" sId="1" odxf="1" s="1" dxf="1">
    <nc r="C479" t="inlineStr">
      <is>
        <t>00 0 00 00000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fmt sheetId="1" s="1" sqref="D479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dxf>
  </rfmt>
  <rcc rId="1860" sId="1" odxf="1" s="1" dxf="1">
    <nc r="B480" t="inlineStr">
      <is>
        <t>0503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4" tint="0.59999389629810485"/>
        </patternFill>
      </fill>
    </ndxf>
  </rcc>
  <rcc rId="1861" sId="1" odxf="1" s="1" dxf="1">
    <nc r="C480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fmt sheetId="1" s="1" sqref="D480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dxf>
  </rfmt>
  <rcc rId="1862" sId="1" odxf="1" s="1" dxf="1">
    <nc r="B481" t="inlineStr">
      <is>
        <t>0503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4" tint="0.59999389629810485"/>
        </patternFill>
      </fill>
    </ndxf>
  </rcc>
  <rcc rId="1863" sId="1" odxf="1" s="1" dxf="1">
    <nc r="C481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864" sId="1" odxf="1" s="1" dxf="1">
    <nc r="D481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865" sId="1" numFmtId="4">
    <nc r="E481">
      <v>2731.7</v>
    </nc>
  </rcc>
  <rcc rId="1866" sId="1">
    <nc r="E480">
      <f>+E481</f>
    </nc>
  </rcc>
  <rfmt sheetId="1" sqref="E479" start="0" length="0">
    <dxf>
      <numFmt numFmtId="164" formatCode="#,##0.0"/>
    </dxf>
  </rfmt>
  <rfmt sheetId="1" sqref="F478" start="0" length="0">
    <dxf>
      <fill>
        <patternFill patternType="solid">
          <bgColor theme="5" tint="0.59999389629810485"/>
        </patternFill>
      </fill>
    </dxf>
  </rfmt>
  <rfmt sheetId="1" sqref="G478" start="0" length="0">
    <dxf>
      <fill>
        <patternFill patternType="solid">
          <bgColor theme="5" tint="0.59999389629810485"/>
        </patternFill>
      </fill>
    </dxf>
  </rfmt>
  <rcc rId="1867" sId="1" odxf="1" dxf="1">
    <oc r="E478">
      <f>E482</f>
    </oc>
    <nc r="E478">
      <f>E482+E479</f>
    </nc>
    <ndxf>
      <fill>
        <patternFill patternType="none">
          <bgColor indexed="65"/>
        </patternFill>
      </fill>
    </ndxf>
  </rcc>
  <rcc rId="1868" sId="1" odxf="1" dxf="1">
    <oc r="F478">
      <f>F482</f>
    </oc>
    <nc r="F478">
      <f>F482+F479</f>
    </nc>
    <ndxf>
      <fill>
        <patternFill patternType="none">
          <bgColor indexed="65"/>
        </patternFill>
      </fill>
    </ndxf>
  </rcc>
  <rcc rId="1869" sId="1" odxf="1" dxf="1">
    <oc r="G478">
      <f>G482</f>
    </oc>
    <nc r="G478">
      <f>G482+G479</f>
    </nc>
    <ndxf>
      <fill>
        <patternFill patternType="none">
          <bgColor indexed="65"/>
        </patternFill>
      </fill>
    </ndxf>
  </rcc>
  <rcc rId="1870" sId="1" odxf="1" s="1" dxf="1">
    <nc r="E479">
      <f>+E480</f>
    </nc>
    <ndxf>
      <font>
        <sz val="12"/>
        <color auto="1"/>
        <name val="Times New Roman"/>
        <family val="1"/>
        <scheme val="none"/>
      </font>
      <alignment horizontal="center"/>
    </ndxf>
  </rcc>
  <rfmt sheetId="1" s="1" sqref="F479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="1" sqref="G479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cc rId="1871" sId="1">
    <nc r="F479">
      <f>+F480</f>
    </nc>
  </rcc>
  <rcc rId="1872" sId="1">
    <nc r="G479">
      <f>+G480</f>
    </nc>
  </rcc>
  <rcc rId="1873" sId="1">
    <nc r="F480">
      <f>+F481</f>
    </nc>
  </rcc>
  <rcc rId="1874" sId="1">
    <nc r="G480">
      <f>+G481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рпр!$C$1:$C$950</formula>
    <oldFormula>рпр!$C$1:$C$950</oldFormula>
  </rdn>
  <rcv guid="{AA62EF5A-85DE-4BC8-95D5-4F54CE8CF3D6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78">
    <dxf>
      <fill>
        <patternFill patternType="solid">
          <bgColor theme="9" tint="0.79998168889431442"/>
        </patternFill>
      </fill>
    </dxf>
  </rfmt>
  <rfmt sheetId="1" sqref="E512" start="0" length="0">
    <dxf>
      <fill>
        <patternFill patternType="none">
          <bgColor indexed="65"/>
        </patternFill>
      </fill>
    </dxf>
  </rfmt>
  <rfmt sheetId="1" sqref="E514" start="0" length="0">
    <dxf>
      <fill>
        <patternFill patternType="none">
          <bgColor indexed="65"/>
        </patternFill>
      </fill>
    </dxf>
  </rfmt>
  <rcc rId="1877" sId="1">
    <oc r="E515">
      <f>E516</f>
    </oc>
    <nc r="E515">
      <f>E516</f>
    </nc>
  </rcc>
  <rfmt sheetId="1" sqref="E516" start="0" length="0">
    <dxf>
      <fill>
        <patternFill patternType="none">
          <bgColor indexed="65"/>
        </patternFill>
      </fill>
    </dxf>
  </rfmt>
  <rcc rId="1878" sId="1">
    <oc r="E517">
      <f>+E518</f>
    </oc>
    <nc r="E517">
      <f>+E518</f>
    </nc>
  </rcc>
  <rfmt sheetId="1" sqref="E518" start="0" length="0">
    <dxf>
      <fill>
        <patternFill patternType="none">
          <bgColor indexed="65"/>
        </patternFill>
      </fill>
    </dxf>
  </rfmt>
  <rcc rId="1879" sId="1">
    <oc r="E519">
      <f>E520</f>
    </oc>
    <nc r="E519">
      <f>E520</f>
    </nc>
  </rcc>
  <rfmt sheetId="1" sqref="E520" start="0" length="0">
    <dxf>
      <fill>
        <patternFill patternType="none">
          <bgColor indexed="65"/>
        </patternFill>
      </fill>
    </dxf>
  </rfmt>
  <rcc rId="1880" sId="1" odxf="1" dxf="1">
    <oc r="E521">
      <f>E522</f>
    </oc>
    <nc r="E521">
      <f>E522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81" sId="1">
    <oc r="E523">
      <f>E524</f>
    </oc>
    <nc r="E523">
      <f>E524</f>
    </nc>
  </rcc>
  <rcc rId="1882" sId="1" odxf="1" dxf="1">
    <oc r="E524">
      <f>128832.5+2008.8+15000+1595.7+25000+822+1595.7</f>
    </oc>
    <nc r="E524">
      <f>128832.5+2008.8+15000+1595.7+25000+822+1595.7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83" sId="1">
    <oc r="E525">
      <f>E526</f>
    </oc>
    <nc r="E525">
      <f>E526</f>
    </nc>
  </rcc>
  <rcc rId="1884" sId="1">
    <oc r="E526">
      <f>E527+E531+E529+E534+E536+E538+E540+E542+E544+E546+E548+E554+E556+E564+E550+E558+E552+E562+E560</f>
    </oc>
    <nc r="E526">
      <f>E527+E531+E529+E534+E536+E538+E540+E542+E544+E546+E548+E554+E556+E564+E550+E558+E552+E562+E560</f>
    </nc>
  </rcc>
  <rcc rId="1885" sId="1">
    <oc r="E527">
      <f>E528</f>
    </oc>
    <nc r="E527">
      <f>E528</f>
    </nc>
  </rcc>
  <rfmt sheetId="1" sqref="E528" start="0" length="0">
    <dxf>
      <fill>
        <patternFill patternType="none">
          <bgColor indexed="65"/>
        </patternFill>
      </fill>
    </dxf>
  </rfmt>
  <rcc rId="1886" sId="1">
    <oc r="E529">
      <f>E530</f>
    </oc>
    <nc r="E529">
      <f>E530</f>
    </nc>
  </rcc>
  <rcc rId="1887" sId="1" odxf="1" dxf="1">
    <oc r="E530">
      <f>25068.4+768.4+1107.8-2059.8</f>
    </oc>
    <nc r="E530">
      <f>25068.4+768.4+1107.8-2059.8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88" sId="1">
    <oc r="E531">
      <f>E533+E532</f>
    </oc>
    <nc r="E531">
      <f>E533+E532</f>
    </nc>
  </rcc>
  <rcc rId="1889" sId="1" odxf="1" dxf="1">
    <oc r="E532">
      <f>65727.5-18957.4</f>
    </oc>
    <nc r="E532">
      <f>65727.5-18957.4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0" sId="1" odxf="1" dxf="1">
    <oc r="E533">
      <f>52459.7+15000+3957.4</f>
    </oc>
    <nc r="E533">
      <f>52459.7+15000+3957.4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1" sId="1">
    <oc r="E534">
      <f>E535</f>
    </oc>
    <nc r="E534">
      <f>E535</f>
    </nc>
  </rcc>
  <rfmt sheetId="1" sqref="E535" start="0" length="0">
    <dxf>
      <fill>
        <patternFill patternType="none">
          <bgColor indexed="65"/>
        </patternFill>
      </fill>
    </dxf>
  </rfmt>
  <rcc rId="1892" sId="1">
    <oc r="E536">
      <f>E537</f>
    </oc>
    <nc r="E536">
      <f>E537</f>
    </nc>
  </rcc>
  <rfmt sheetId="1" sqref="E537" start="0" length="0">
    <dxf>
      <fill>
        <patternFill patternType="none">
          <bgColor indexed="65"/>
        </patternFill>
      </fill>
    </dxf>
  </rfmt>
  <rcc rId="1893" sId="1">
    <oc r="E538">
      <f>E539</f>
    </oc>
    <nc r="E538">
      <f>E539</f>
    </nc>
  </rcc>
  <rcc rId="1894" sId="1" odxf="1" dxf="1">
    <oc r="E539">
      <f>30000+67600+17307.5-1298.8</f>
    </oc>
    <nc r="E539">
      <f>30000+67600+17307.5-1298.8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5" sId="1">
    <oc r="E540">
      <f>E541</f>
    </oc>
    <nc r="E540">
      <f>E541</f>
    </nc>
  </rcc>
  <rcc rId="1896" sId="1" odxf="1" dxf="1">
    <oc r="E541">
      <f>1641.2-563.5</f>
    </oc>
    <nc r="E541">
      <f>1641.2-563.5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7" sId="1">
    <oc r="E542">
      <f>E543</f>
    </oc>
    <nc r="E542">
      <f>E543</f>
    </nc>
  </rcc>
  <rfmt sheetId="1" sqref="E543" start="0" length="0">
    <dxf>
      <fill>
        <patternFill patternType="none">
          <bgColor indexed="65"/>
        </patternFill>
      </fill>
    </dxf>
  </rfmt>
  <rcc rId="1898" sId="1">
    <oc r="E544">
      <f>E545</f>
    </oc>
    <nc r="E544">
      <f>E545</f>
    </nc>
  </rcc>
  <rcc rId="1899" sId="1" odxf="1" dxf="1">
    <oc r="E545">
      <f>88-4.2</f>
    </oc>
    <nc r="E545">
      <f>88-4.2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0" sId="1">
    <oc r="E546">
      <f>E547</f>
    </oc>
    <nc r="E546">
      <f>E547</f>
    </nc>
  </rcc>
  <rcc rId="1901" sId="1" odxf="1" dxf="1">
    <oc r="E547">
      <f>100-4.8</f>
    </oc>
    <nc r="E547">
      <f>100-4.8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2" sId="1">
    <oc r="E548">
      <f>E549</f>
    </oc>
    <nc r="E548">
      <f>E549</f>
    </nc>
  </rcc>
  <rfmt sheetId="1" sqref="E549" start="0" length="0">
    <dxf>
      <fill>
        <patternFill patternType="none">
          <bgColor indexed="65"/>
        </patternFill>
      </fill>
    </dxf>
  </rfmt>
  <rcc rId="1903" sId="1">
    <oc r="E550">
      <f>E551</f>
    </oc>
    <nc r="E550">
      <f>E551</f>
    </nc>
  </rcc>
  <rcc rId="1904" sId="1" odxf="1" dxf="1">
    <oc r="E551">
      <f>1846.7-627.9</f>
    </oc>
    <nc r="E551">
      <f>1846.7-627.9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5" sId="1">
    <oc r="E552">
      <f>E553</f>
    </oc>
    <nc r="E552">
      <f>E553</f>
    </nc>
  </rcc>
  <rfmt sheetId="1" sqref="E553" start="0" length="0">
    <dxf>
      <fill>
        <patternFill patternType="none">
          <bgColor indexed="65"/>
        </patternFill>
      </fill>
    </dxf>
  </rfmt>
  <rcc rId="1906" sId="1">
    <oc r="E554">
      <f>E555</f>
    </oc>
    <nc r="E554">
      <f>E555</f>
    </nc>
  </rcc>
  <rcc rId="1907" sId="1" odxf="1" dxf="1">
    <oc r="E555">
      <f>190462.3+1061.8+15491.3</f>
    </oc>
    <nc r="E555">
      <f>190462.3+1061.8+15491.3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8" sId="1">
    <oc r="E556">
      <f>E557</f>
    </oc>
    <nc r="E556">
      <f>E557</f>
    </nc>
  </rcc>
  <rfmt sheetId="1" sqref="E557" start="0" length="0">
    <dxf>
      <fill>
        <patternFill patternType="none">
          <bgColor indexed="65"/>
        </patternFill>
      </fill>
    </dxf>
  </rfmt>
  <rcc rId="1909" sId="1">
    <oc r="E558">
      <f>E559</f>
    </oc>
    <nc r="E558">
      <f>E559</f>
    </nc>
  </rcc>
  <rfmt sheetId="1" sqref="E559" start="0" length="0">
    <dxf>
      <fill>
        <patternFill patternType="none">
          <bgColor indexed="65"/>
        </patternFill>
      </fill>
    </dxf>
  </rfmt>
  <rcc rId="1910" sId="1">
    <oc r="E560">
      <f>+E561</f>
    </oc>
    <nc r="E560">
      <f>+E561</f>
    </nc>
  </rcc>
  <rcc rId="1911" sId="1" odxf="1" dxf="1">
    <oc r="E561">
      <f>1200+965.1</f>
    </oc>
    <nc r="E561">
      <f>1200+965.1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2" sId="1">
    <oc r="E562">
      <f>E563</f>
    </oc>
    <nc r="E562">
      <f>E563</f>
    </nc>
  </rcc>
  <rcc rId="1913" sId="1" odxf="1" dxf="1">
    <oc r="E563">
      <f>68.5-14.7</f>
    </oc>
    <nc r="E563">
      <f>68.5-14.7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4" sId="1">
    <oc r="E564">
      <f>E565</f>
    </oc>
    <nc r="E564">
      <f>E565</f>
    </nc>
  </rcc>
  <rcc rId="1915" sId="1" odxf="1" dxf="1">
    <oc r="E565">
      <f>256430.9+18274.4-27513</f>
    </oc>
    <nc r="E565">
      <f>256430.9+18274.4-27513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6" sId="1" odxf="1" dxf="1">
    <oc r="E566">
      <f>E567+E572+E580</f>
    </oc>
    <nc r="E566">
      <f>E567+E572+E580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7" sId="1">
    <oc r="E567">
      <f>E568</f>
    </oc>
    <nc r="E567">
      <f>E568</f>
    </nc>
  </rcc>
  <rcc rId="1918" sId="1">
    <oc r="E568">
      <f>E569</f>
    </oc>
    <nc r="E568">
      <f>E569</f>
    </nc>
  </rcc>
  <rcc rId="1919" sId="1">
    <oc r="E569">
      <f>E570</f>
    </oc>
    <nc r="E569">
      <f>E570</f>
    </nc>
  </rcc>
  <rcc rId="1920" sId="1">
    <oc r="E570">
      <f>E571</f>
    </oc>
    <nc r="E570">
      <f>E571</f>
    </nc>
  </rcc>
  <rcc rId="1921" sId="1">
    <oc r="E572">
      <f>E573</f>
    </oc>
    <nc r="E572">
      <f>E573</f>
    </nc>
  </rcc>
  <rcc rId="1922" sId="1">
    <oc r="E573">
      <f>E574</f>
    </oc>
    <nc r="E573">
      <f>E574</f>
    </nc>
  </rcc>
  <rcc rId="1923" sId="1">
    <oc r="E574">
      <f>E575</f>
    </oc>
    <nc r="E574">
      <f>E575</f>
    </nc>
  </rcc>
  <rcc rId="1924" sId="1">
    <oc r="E575">
      <f>SUM(E576:E579)</f>
    </oc>
    <nc r="E575">
      <f>SUM(E576:E579)</f>
    </nc>
  </rcc>
  <rcc rId="1925" sId="1">
    <oc r="E576">
      <f>87860.9+2386.9+115</f>
    </oc>
    <nc r="E576">
      <f>87860.9+2386.9+115</f>
    </nc>
  </rcc>
  <rcc rId="1926" sId="1">
    <oc r="E577">
      <f>2408.8+553.1</f>
    </oc>
    <nc r="E577">
      <f>2408.8+553.1</f>
    </nc>
  </rcc>
  <rcc rId="1927" sId="1">
    <oc r="E578">
      <f>1851+544.1</f>
    </oc>
    <nc r="E578">
      <f>1851+544.1</f>
    </nc>
  </rcc>
  <rcc rId="1928" sId="1">
    <oc r="E579">
      <f>187.1+35</f>
    </oc>
    <nc r="E579">
      <f>187.1+35</f>
    </nc>
  </rcc>
  <rcc rId="1929" sId="1">
    <oc r="E580">
      <f>E581</f>
    </oc>
    <nc r="E580">
      <f>E581</f>
    </nc>
  </rcc>
  <rcc rId="1930" sId="1">
    <oc r="E581">
      <f>E582</f>
    </oc>
    <nc r="E581">
      <f>E582</f>
    </nc>
  </rcc>
  <rcc rId="1931" sId="1">
    <oc r="E582">
      <f>E583</f>
    </oc>
    <nc r="E582">
      <f>E583</f>
    </nc>
  </rcc>
  <rcc rId="1932" sId="1">
    <oc r="E583">
      <f>E584+E585+E586</f>
    </oc>
    <nc r="E583">
      <f>E584+E585+E586</f>
    </nc>
  </rcc>
  <rcc rId="1933" sId="1">
    <oc r="E584">
      <f>93895.9+4551.4</f>
    </oc>
    <nc r="E584">
      <f>93895.9+4551.4</f>
    </nc>
  </rcc>
  <rfmt sheetId="1" sqref="E566">
    <dxf>
      <fill>
        <patternFill patternType="solid">
          <bgColor theme="9" tint="0.79998168889431442"/>
        </patternFill>
      </fill>
    </dxf>
  </rfmt>
  <rfmt sheetId="1" s="1" sqref="C892" start="0" length="0">
    <dxf>
      <alignment vertical="top"/>
    </dxf>
  </rfmt>
  <rcc rId="1934" sId="1">
    <oc r="E880">
      <f>E884+E881+E888</f>
    </oc>
    <nc r="E880">
      <f>E884+E881+E887</f>
    </nc>
  </rcc>
  <rcc rId="1935" sId="1">
    <oc r="F880">
      <f>F884+F881+F888</f>
    </oc>
    <nc r="F880">
      <f>F884+F881+F887</f>
    </nc>
  </rcc>
  <rcc rId="1936" sId="1">
    <oc r="G880">
      <f>G884+G881+G887</f>
    </oc>
    <nc r="G880">
      <f>G884+G881+G887</f>
    </nc>
  </rcc>
  <rfmt sheetId="1" sqref="E878">
    <dxf>
      <fill>
        <patternFill>
          <bgColor theme="9" tint="0.79998168889431442"/>
        </patternFill>
      </fill>
    </dxf>
  </rfmt>
  <rcc rId="1937" sId="1">
    <oc r="E62">
      <f>189714.2-15104.3</f>
    </oc>
    <nc r="E62">
      <f>189714.2-34926.3-1535-8800.3-21627.2-6528.9-5227.9-306.4-5894-9649-5267.3-1937-1020.9-775.3-3960.3-6998.8-1442.1-1200-15104.3+28698.7</f>
    </nc>
  </rcc>
  <rcc rId="1938" sId="1">
    <oc r="E86">
      <f>45+60</f>
    </oc>
    <nc r="E86">
      <f>45</f>
    </nc>
  </rcc>
  <rfmt sheetId="1" sqref="E69">
    <dxf>
      <fill>
        <patternFill>
          <bgColor theme="9" tint="0.79998168889431442"/>
        </patternFill>
      </fill>
    </dxf>
  </rfmt>
  <rcc rId="1939" sId="1" numFmtId="4">
    <oc r="F33">
      <v>60869.3</v>
    </oc>
    <nc r="F33">
      <f>60869.3+2284.1</f>
    </nc>
  </rcc>
  <rcc rId="1940" sId="1" odxf="1" dxf="1">
    <oc r="E29">
      <f>E30</f>
    </oc>
    <nc r="E29">
      <f>E30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41" sId="1" numFmtId="4">
    <oc r="F79">
      <v>29645.7</v>
    </oc>
    <nc r="F79">
      <f>29645.7-13766.2</f>
    </nc>
  </rcc>
  <rcc rId="1942" sId="1">
    <oc r="F124">
      <f>+F125</f>
    </oc>
    <nc r="F124">
      <f>+F125</f>
    </nc>
  </rcc>
  <rcc rId="1943" sId="1">
    <oc r="G124">
      <f>+G125</f>
    </oc>
    <nc r="G124">
      <f>+G125</f>
    </nc>
  </rcc>
  <rcc rId="1944" sId="1">
    <oc r="F125">
      <f>+F126</f>
    </oc>
    <nc r="F125">
      <f>+F126</f>
    </nc>
  </rcc>
  <rcc rId="1945" sId="1">
    <oc r="G125">
      <f>+G126</f>
    </oc>
    <nc r="G125">
      <f>+G126</f>
    </nc>
  </rcc>
  <rcc rId="1946" sId="1">
    <oc r="F126">
      <f>+F127</f>
    </oc>
    <nc r="F126">
      <f>+F127+F129</f>
    </nc>
  </rcc>
  <rcc rId="1947" sId="1">
    <oc r="G126">
      <f>+G127</f>
    </oc>
    <nc r="G126">
      <f>+G127+G129</f>
    </nc>
  </rcc>
  <rcc rId="1948" sId="1" odxf="1" s="1" dxf="1">
    <oc r="E132">
      <f>E133</f>
    </oc>
    <nc r="E132">
      <f>E133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qref="E133" start="0" length="0">
    <dxf>
      <fill>
        <patternFill patternType="none">
          <bgColor indexed="65"/>
        </patternFill>
      </fill>
    </dxf>
  </rfmt>
  <rcc rId="1949" sId="1" odxf="1" dxf="1">
    <oc r="E134">
      <f>E135</f>
    </oc>
    <nc r="E134">
      <f>E135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0" sId="1" odxf="1" s="1" dxf="1">
    <oc r="E135">
      <f>E136+E138+E140+E144</f>
    </oc>
    <nc r="E135">
      <f>E136+E138+E140+E144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1" sId="1" odxf="1" dxf="1">
    <oc r="E136">
      <f>E137</f>
    </oc>
    <nc r="E136">
      <f>E137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137" start="0" length="0">
    <dxf>
      <fill>
        <patternFill patternType="none">
          <bgColor indexed="65"/>
        </patternFill>
      </fill>
    </dxf>
  </rfmt>
  <rcc rId="1952" sId="1" odxf="1" s="1" dxf="1">
    <oc r="E138">
      <f>E139</f>
    </oc>
    <nc r="E138">
      <f>E139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3" sId="1" odxf="1" dxf="1">
    <oc r="E139">
      <f>9282.5+325</f>
    </oc>
    <nc r="E139">
      <f>9282.5+325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4" sId="1" odxf="1" dxf="1">
    <oc r="E140">
      <f>E141+E142+E143</f>
    </oc>
    <nc r="E140">
      <f>E141+E142+E143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5" sId="1" odxf="1" s="1" dxf="1">
    <oc r="E141">
      <f>103569.8+2808.5</f>
    </oc>
    <nc r="E141">
      <f>103569.8+2808.5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6" sId="1" odxf="1" dxf="1">
    <oc r="E142">
      <f>18900.9+306.4</f>
    </oc>
    <nc r="E142">
      <f>18900.9+306.4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7" sId="1" odxf="1" dxf="1">
    <oc r="E143">
      <f>844.8+558.9</f>
    </oc>
    <nc r="E143">
      <f>844.8+558.9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8" sId="1" odxf="1" s="1" dxf="1">
    <oc r="E144">
      <f>+E145</f>
    </oc>
    <nc r="E144">
      <f>+E145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9" sId="1" numFmtId="4">
    <oc r="F137">
      <v>49591.6</v>
    </oc>
    <nc r="F137">
      <f>49591.6+36295.3</f>
    </nc>
  </rcc>
  <rcc rId="1960" sId="1" numFmtId="4">
    <oc r="F139">
      <v>6539.7</v>
    </oc>
    <nc r="F139">
      <f>6539.7+7878.2</f>
    </nc>
  </rcc>
  <rcc rId="1961" sId="1" numFmtId="4">
    <oc r="F164">
      <v>66042.399999999994</v>
    </oc>
    <nc r="F164">
      <f>66042.4-18201.4</f>
    </nc>
  </rcc>
  <rrc rId="1962" sId="1" ref="A169:XFD169" action="insertRow">
    <undo index="65535" exp="area" ref3D="1" dr="$A$930:$XFD$932" dn="Z_1CA6CCC9_64EF_4CA9_9C9C_1E572976D134_.wvu.Rows" sId="1"/>
    <undo index="65535" exp="area" ref3D="1" dr="$A$925:$XFD$927" dn="Z_1CA6CCC9_64EF_4CA9_9C9C_1E572976D134_.wvu.Rows" sId="1"/>
    <undo index="65535" exp="area" ref3D="1" dr="$A$902:$XFD$922" dn="Z_1CA6CCC9_64EF_4CA9_9C9C_1E572976D134_.wvu.Rows" sId="1"/>
    <undo index="65535" exp="area" ref3D="1" dr="$A$879:$XFD$900" dn="Z_1CA6CCC9_64EF_4CA9_9C9C_1E572976D134_.wvu.Rows" sId="1"/>
    <undo index="65535" exp="area" ref3D="1" dr="$A$873:$XFD$877" dn="Z_1CA6CCC9_64EF_4CA9_9C9C_1E572976D134_.wvu.Rows" sId="1"/>
    <undo index="65535" exp="area" ref3D="1" dr="$A$841:$XFD$870" dn="Z_1CA6CCC9_64EF_4CA9_9C9C_1E572976D134_.wvu.Rows" sId="1"/>
    <undo index="65535" exp="area" ref3D="1" dr="$A$826:$XFD$839" dn="Z_1CA6CCC9_64EF_4CA9_9C9C_1E572976D134_.wvu.Rows" sId="1"/>
    <undo index="65535" exp="area" ref3D="1" dr="$A$822:$XFD$824" dn="Z_1CA6CCC9_64EF_4CA9_9C9C_1E572976D134_.wvu.Rows" sId="1"/>
    <undo index="65535" exp="area" ref3D="1" dr="$A$797:$XFD$818" dn="Z_1CA6CCC9_64EF_4CA9_9C9C_1E572976D134_.wvu.Rows" sId="1"/>
    <undo index="65535" exp="area" ref3D="1" dr="$A$776:$XFD$795" dn="Z_1CA6CCC9_64EF_4CA9_9C9C_1E572976D134_.wvu.Rows" sId="1"/>
    <undo index="65535" exp="area" ref3D="1" dr="$A$724:$XFD$773" dn="Z_1CA6CCC9_64EF_4CA9_9C9C_1E572976D134_.wvu.Rows" sId="1"/>
    <undo index="65535" exp="area" ref3D="1" dr="$A$706:$XFD$722" dn="Z_1CA6CCC9_64EF_4CA9_9C9C_1E572976D134_.wvu.Rows" sId="1"/>
    <undo index="65535" exp="area" ref3D="1" dr="$A$683:$XFD$704" dn="Z_1CA6CCC9_64EF_4CA9_9C9C_1E572976D134_.wvu.Rows" sId="1"/>
    <undo index="65535" exp="area" ref3D="1" dr="$A$618:$XFD$681" dn="Z_1CA6CCC9_64EF_4CA9_9C9C_1E572976D134_.wvu.Rows" sId="1"/>
    <undo index="65535" exp="area" ref3D="1" dr="$A$596:$XFD$616" dn="Z_1CA6CCC9_64EF_4CA9_9C9C_1E572976D134_.wvu.Rows" sId="1"/>
    <undo index="65535" exp="area" ref3D="1" dr="$A$589:$XFD$593" dn="Z_1CA6CCC9_64EF_4CA9_9C9C_1E572976D134_.wvu.Rows" sId="1"/>
    <undo index="65535" exp="area" ref3D="1" dr="$A$567:$XFD$586" dn="Z_1CA6CCC9_64EF_4CA9_9C9C_1E572976D134_.wvu.Rows" sId="1"/>
    <undo index="65535" exp="area" ref3D="1" dr="$A$479:$XFD$565" dn="Z_1CA6CCC9_64EF_4CA9_9C9C_1E572976D134_.wvu.Rows" sId="1"/>
    <undo index="65535" exp="area" ref3D="1" dr="$A$333:$XFD$477" dn="Z_1CA6CCC9_64EF_4CA9_9C9C_1E572976D134_.wvu.Rows" sId="1"/>
    <undo index="65535" exp="area" ref3D="1" dr="$A$294:$XFD$331" dn="Z_1CA6CCC9_64EF_4CA9_9C9C_1E572976D134_.wvu.Rows" sId="1"/>
    <undo index="65535" exp="area" ref3D="1" dr="$A$267:$XFD$291" dn="Z_1CA6CCC9_64EF_4CA9_9C9C_1E572976D134_.wvu.Rows" sId="1"/>
    <undo index="65535" exp="area" ref3D="1" dr="$A$170:$XFD$265" dn="Z_1CA6CCC9_64EF_4CA9_9C9C_1E572976D134_.wvu.Rows" sId="1"/>
  </rrc>
  <rrc rId="1963" sId="1" ref="A169:XFD169" action="insertRow">
    <undo index="65535" exp="area" ref3D="1" dr="$A$931:$XFD$933" dn="Z_1CA6CCC9_64EF_4CA9_9C9C_1E572976D134_.wvu.Rows" sId="1"/>
    <undo index="65535" exp="area" ref3D="1" dr="$A$926:$XFD$928" dn="Z_1CA6CCC9_64EF_4CA9_9C9C_1E572976D134_.wvu.Rows" sId="1"/>
    <undo index="65535" exp="area" ref3D="1" dr="$A$903:$XFD$923" dn="Z_1CA6CCC9_64EF_4CA9_9C9C_1E572976D134_.wvu.Rows" sId="1"/>
    <undo index="65535" exp="area" ref3D="1" dr="$A$880:$XFD$901" dn="Z_1CA6CCC9_64EF_4CA9_9C9C_1E572976D134_.wvu.Rows" sId="1"/>
    <undo index="65535" exp="area" ref3D="1" dr="$A$874:$XFD$878" dn="Z_1CA6CCC9_64EF_4CA9_9C9C_1E572976D134_.wvu.Rows" sId="1"/>
    <undo index="65535" exp="area" ref3D="1" dr="$A$842:$XFD$871" dn="Z_1CA6CCC9_64EF_4CA9_9C9C_1E572976D134_.wvu.Rows" sId="1"/>
    <undo index="65535" exp="area" ref3D="1" dr="$A$827:$XFD$840" dn="Z_1CA6CCC9_64EF_4CA9_9C9C_1E572976D134_.wvu.Rows" sId="1"/>
    <undo index="65535" exp="area" ref3D="1" dr="$A$823:$XFD$825" dn="Z_1CA6CCC9_64EF_4CA9_9C9C_1E572976D134_.wvu.Rows" sId="1"/>
    <undo index="65535" exp="area" ref3D="1" dr="$A$798:$XFD$819" dn="Z_1CA6CCC9_64EF_4CA9_9C9C_1E572976D134_.wvu.Rows" sId="1"/>
    <undo index="65535" exp="area" ref3D="1" dr="$A$777:$XFD$796" dn="Z_1CA6CCC9_64EF_4CA9_9C9C_1E572976D134_.wvu.Rows" sId="1"/>
    <undo index="65535" exp="area" ref3D="1" dr="$A$725:$XFD$774" dn="Z_1CA6CCC9_64EF_4CA9_9C9C_1E572976D134_.wvu.Rows" sId="1"/>
    <undo index="65535" exp="area" ref3D="1" dr="$A$707:$XFD$723" dn="Z_1CA6CCC9_64EF_4CA9_9C9C_1E572976D134_.wvu.Rows" sId="1"/>
    <undo index="65535" exp="area" ref3D="1" dr="$A$684:$XFD$705" dn="Z_1CA6CCC9_64EF_4CA9_9C9C_1E572976D134_.wvu.Rows" sId="1"/>
    <undo index="65535" exp="area" ref3D="1" dr="$A$619:$XFD$682" dn="Z_1CA6CCC9_64EF_4CA9_9C9C_1E572976D134_.wvu.Rows" sId="1"/>
    <undo index="65535" exp="area" ref3D="1" dr="$A$597:$XFD$617" dn="Z_1CA6CCC9_64EF_4CA9_9C9C_1E572976D134_.wvu.Rows" sId="1"/>
    <undo index="65535" exp="area" ref3D="1" dr="$A$590:$XFD$594" dn="Z_1CA6CCC9_64EF_4CA9_9C9C_1E572976D134_.wvu.Rows" sId="1"/>
    <undo index="65535" exp="area" ref3D="1" dr="$A$568:$XFD$587" dn="Z_1CA6CCC9_64EF_4CA9_9C9C_1E572976D134_.wvu.Rows" sId="1"/>
    <undo index="65535" exp="area" ref3D="1" dr="$A$480:$XFD$566" dn="Z_1CA6CCC9_64EF_4CA9_9C9C_1E572976D134_.wvu.Rows" sId="1"/>
    <undo index="65535" exp="area" ref3D="1" dr="$A$334:$XFD$478" dn="Z_1CA6CCC9_64EF_4CA9_9C9C_1E572976D134_.wvu.Rows" sId="1"/>
    <undo index="65535" exp="area" ref3D="1" dr="$A$295:$XFD$332" dn="Z_1CA6CCC9_64EF_4CA9_9C9C_1E572976D134_.wvu.Rows" sId="1"/>
    <undo index="65535" exp="area" ref3D="1" dr="$A$268:$XFD$292" dn="Z_1CA6CCC9_64EF_4CA9_9C9C_1E572976D134_.wvu.Rows" sId="1"/>
    <undo index="65535" exp="area" ref3D="1" dr="$A$171:$XFD$266" dn="Z_1CA6CCC9_64EF_4CA9_9C9C_1E572976D134_.wvu.Rows" sId="1"/>
  </rrc>
  <rcc rId="1964" sId="1" odxf="1" dxf="1">
    <nc r="A169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    </is>
    </nc>
    <odxf>
      <font>
        <sz val="12"/>
        <name val="Times New Roman"/>
        <family val="1"/>
      </font>
      <numFmt numFmtId="0" formatCode="General"/>
      <alignment horizontal="general"/>
    </odxf>
    <ndxf>
      <font>
        <sz val="12"/>
        <name val="Times New Roman"/>
        <family val="1"/>
      </font>
      <numFmt numFmtId="1" formatCode="0"/>
      <alignment horizontal="left"/>
    </ndxf>
  </rcc>
  <rcc rId="1965" sId="1" odxf="1" dxf="1">
    <nc r="A17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numFmt numFmtId="0" formatCode="General"/>
      <alignment horizontal="general"/>
    </odxf>
    <ndxf>
      <font>
        <sz val="12"/>
        <name val="Times New Roman"/>
        <family val="1"/>
      </font>
      <numFmt numFmtId="1" formatCode="0"/>
      <alignment horizontal="left"/>
    </ndxf>
  </rcc>
  <rcc rId="1966" sId="1" odxf="1" dxf="1">
    <nc r="B169" t="inlineStr">
      <is>
        <t>0408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67" sId="1" odxf="1" dxf="1">
    <nc r="C169" t="inlineStr">
      <is>
        <t>02 2 01 61051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169" start="0" length="0">
    <dxf>
      <font>
        <sz val="12"/>
        <name val="Times New Roman"/>
        <family val="1"/>
      </font>
    </dxf>
  </rfmt>
  <rcc rId="1968" sId="1" odxf="1" dxf="1">
    <nc r="B170" t="inlineStr">
      <is>
        <t>0408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69" sId="1" odxf="1" dxf="1">
    <nc r="C170" t="inlineStr">
      <is>
        <t>02 2 01 61051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70" sId="1" odxf="1" dxf="1">
    <nc r="D17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71" sId="1">
    <nc r="E169">
      <f>+E170</f>
    </nc>
  </rcc>
  <rcc rId="1972" sId="1">
    <nc r="F169">
      <f>+F170</f>
    </nc>
  </rcc>
  <rcc rId="1973" sId="1">
    <nc r="G169">
      <f>+G170</f>
    </nc>
  </rcc>
  <rcc rId="1974" sId="1" numFmtId="4">
    <nc r="F170">
      <v>289777.90000000002</v>
    </nc>
  </rcc>
  <rcc rId="1975" sId="1">
    <oc r="E160">
      <f>E161+E163+E165+E167</f>
    </oc>
    <nc r="E160">
      <f>E161+E163+E165+E167+E169</f>
    </nc>
  </rcc>
  <rcc rId="1976" sId="1">
    <oc r="F160">
      <f>F161+F163+F165+F167</f>
    </oc>
    <nc r="F160">
      <f>F161+F163+F165+F167+F169</f>
    </nc>
  </rcc>
  <rcc rId="1977" sId="1">
    <oc r="G160">
      <f>G161+G163+G165+G167</f>
    </oc>
    <nc r="G160">
      <f>G161+G163+G165+G167+G169</f>
    </nc>
  </rcc>
  <rcc rId="1978" sId="1" numFmtId="4">
    <oc r="F202">
      <v>206708.2</v>
    </oc>
    <nc r="F202">
      <f>206708.2+3200</f>
    </nc>
  </rcc>
  <rrc rId="1979" sId="1" ref="A215:XFD215" action="insertRow">
    <undo index="65535" exp="area" ref3D="1" dr="$A$932:$XFD$934" dn="Z_1CA6CCC9_64EF_4CA9_9C9C_1E572976D134_.wvu.Rows" sId="1"/>
    <undo index="65535" exp="area" ref3D="1" dr="$A$927:$XFD$929" dn="Z_1CA6CCC9_64EF_4CA9_9C9C_1E572976D134_.wvu.Rows" sId="1"/>
    <undo index="65535" exp="area" ref3D="1" dr="$A$904:$XFD$924" dn="Z_1CA6CCC9_64EF_4CA9_9C9C_1E572976D134_.wvu.Rows" sId="1"/>
    <undo index="65535" exp="area" ref3D="1" dr="$A$881:$XFD$902" dn="Z_1CA6CCC9_64EF_4CA9_9C9C_1E572976D134_.wvu.Rows" sId="1"/>
    <undo index="65535" exp="area" ref3D="1" dr="$A$875:$XFD$879" dn="Z_1CA6CCC9_64EF_4CA9_9C9C_1E572976D134_.wvu.Rows" sId="1"/>
    <undo index="65535" exp="area" ref3D="1" dr="$A$843:$XFD$872" dn="Z_1CA6CCC9_64EF_4CA9_9C9C_1E572976D134_.wvu.Rows" sId="1"/>
    <undo index="65535" exp="area" ref3D="1" dr="$A$828:$XFD$841" dn="Z_1CA6CCC9_64EF_4CA9_9C9C_1E572976D134_.wvu.Rows" sId="1"/>
    <undo index="65535" exp="area" ref3D="1" dr="$A$824:$XFD$826" dn="Z_1CA6CCC9_64EF_4CA9_9C9C_1E572976D134_.wvu.Rows" sId="1"/>
    <undo index="65535" exp="area" ref3D="1" dr="$A$799:$XFD$820" dn="Z_1CA6CCC9_64EF_4CA9_9C9C_1E572976D134_.wvu.Rows" sId="1"/>
    <undo index="65535" exp="area" ref3D="1" dr="$A$778:$XFD$797" dn="Z_1CA6CCC9_64EF_4CA9_9C9C_1E572976D134_.wvu.Rows" sId="1"/>
    <undo index="65535" exp="area" ref3D="1" dr="$A$726:$XFD$775" dn="Z_1CA6CCC9_64EF_4CA9_9C9C_1E572976D134_.wvu.Rows" sId="1"/>
    <undo index="65535" exp="area" ref3D="1" dr="$A$708:$XFD$724" dn="Z_1CA6CCC9_64EF_4CA9_9C9C_1E572976D134_.wvu.Rows" sId="1"/>
    <undo index="65535" exp="area" ref3D="1" dr="$A$685:$XFD$706" dn="Z_1CA6CCC9_64EF_4CA9_9C9C_1E572976D134_.wvu.Rows" sId="1"/>
    <undo index="65535" exp="area" ref3D="1" dr="$A$620:$XFD$683" dn="Z_1CA6CCC9_64EF_4CA9_9C9C_1E572976D134_.wvu.Rows" sId="1"/>
    <undo index="65535" exp="area" ref3D="1" dr="$A$598:$XFD$618" dn="Z_1CA6CCC9_64EF_4CA9_9C9C_1E572976D134_.wvu.Rows" sId="1"/>
    <undo index="65535" exp="area" ref3D="1" dr="$A$591:$XFD$595" dn="Z_1CA6CCC9_64EF_4CA9_9C9C_1E572976D134_.wvu.Rows" sId="1"/>
    <undo index="65535" exp="area" ref3D="1" dr="$A$569:$XFD$588" dn="Z_1CA6CCC9_64EF_4CA9_9C9C_1E572976D134_.wvu.Rows" sId="1"/>
    <undo index="65535" exp="area" ref3D="1" dr="$A$481:$XFD$567" dn="Z_1CA6CCC9_64EF_4CA9_9C9C_1E572976D134_.wvu.Rows" sId="1"/>
    <undo index="65535" exp="area" ref3D="1" dr="$A$335:$XFD$479" dn="Z_1CA6CCC9_64EF_4CA9_9C9C_1E572976D134_.wvu.Rows" sId="1"/>
    <undo index="65535" exp="area" ref3D="1" dr="$A$296:$XFD$333" dn="Z_1CA6CCC9_64EF_4CA9_9C9C_1E572976D134_.wvu.Rows" sId="1"/>
    <undo index="65535" exp="area" ref3D="1" dr="$A$269:$XFD$293" dn="Z_1CA6CCC9_64EF_4CA9_9C9C_1E572976D134_.wvu.Rows" sId="1"/>
    <undo index="65535" exp="area" ref3D="1" dr="$A$172:$XFD$267" dn="Z_1CA6CCC9_64EF_4CA9_9C9C_1E572976D134_.wvu.Rows" sId="1"/>
  </rrc>
  <rrc rId="1980" sId="1" ref="A215:XFD215" action="insertRow">
    <undo index="65535" exp="area" ref3D="1" dr="$A$933:$XFD$935" dn="Z_1CA6CCC9_64EF_4CA9_9C9C_1E572976D134_.wvu.Rows" sId="1"/>
    <undo index="65535" exp="area" ref3D="1" dr="$A$928:$XFD$930" dn="Z_1CA6CCC9_64EF_4CA9_9C9C_1E572976D134_.wvu.Rows" sId="1"/>
    <undo index="65535" exp="area" ref3D="1" dr="$A$905:$XFD$925" dn="Z_1CA6CCC9_64EF_4CA9_9C9C_1E572976D134_.wvu.Rows" sId="1"/>
    <undo index="65535" exp="area" ref3D="1" dr="$A$882:$XFD$903" dn="Z_1CA6CCC9_64EF_4CA9_9C9C_1E572976D134_.wvu.Rows" sId="1"/>
    <undo index="65535" exp="area" ref3D="1" dr="$A$876:$XFD$880" dn="Z_1CA6CCC9_64EF_4CA9_9C9C_1E572976D134_.wvu.Rows" sId="1"/>
    <undo index="65535" exp="area" ref3D="1" dr="$A$844:$XFD$873" dn="Z_1CA6CCC9_64EF_4CA9_9C9C_1E572976D134_.wvu.Rows" sId="1"/>
    <undo index="65535" exp="area" ref3D="1" dr="$A$829:$XFD$842" dn="Z_1CA6CCC9_64EF_4CA9_9C9C_1E572976D134_.wvu.Rows" sId="1"/>
    <undo index="65535" exp="area" ref3D="1" dr="$A$825:$XFD$827" dn="Z_1CA6CCC9_64EF_4CA9_9C9C_1E572976D134_.wvu.Rows" sId="1"/>
    <undo index="65535" exp="area" ref3D="1" dr="$A$800:$XFD$821" dn="Z_1CA6CCC9_64EF_4CA9_9C9C_1E572976D134_.wvu.Rows" sId="1"/>
    <undo index="65535" exp="area" ref3D="1" dr="$A$779:$XFD$798" dn="Z_1CA6CCC9_64EF_4CA9_9C9C_1E572976D134_.wvu.Rows" sId="1"/>
    <undo index="65535" exp="area" ref3D="1" dr="$A$727:$XFD$776" dn="Z_1CA6CCC9_64EF_4CA9_9C9C_1E572976D134_.wvu.Rows" sId="1"/>
    <undo index="65535" exp="area" ref3D="1" dr="$A$709:$XFD$725" dn="Z_1CA6CCC9_64EF_4CA9_9C9C_1E572976D134_.wvu.Rows" sId="1"/>
    <undo index="65535" exp="area" ref3D="1" dr="$A$686:$XFD$707" dn="Z_1CA6CCC9_64EF_4CA9_9C9C_1E572976D134_.wvu.Rows" sId="1"/>
    <undo index="65535" exp="area" ref3D="1" dr="$A$621:$XFD$684" dn="Z_1CA6CCC9_64EF_4CA9_9C9C_1E572976D134_.wvu.Rows" sId="1"/>
    <undo index="65535" exp="area" ref3D="1" dr="$A$599:$XFD$619" dn="Z_1CA6CCC9_64EF_4CA9_9C9C_1E572976D134_.wvu.Rows" sId="1"/>
    <undo index="65535" exp="area" ref3D="1" dr="$A$592:$XFD$596" dn="Z_1CA6CCC9_64EF_4CA9_9C9C_1E572976D134_.wvu.Rows" sId="1"/>
    <undo index="65535" exp="area" ref3D="1" dr="$A$570:$XFD$589" dn="Z_1CA6CCC9_64EF_4CA9_9C9C_1E572976D134_.wvu.Rows" sId="1"/>
    <undo index="65535" exp="area" ref3D="1" dr="$A$482:$XFD$568" dn="Z_1CA6CCC9_64EF_4CA9_9C9C_1E572976D134_.wvu.Rows" sId="1"/>
    <undo index="65535" exp="area" ref3D="1" dr="$A$336:$XFD$480" dn="Z_1CA6CCC9_64EF_4CA9_9C9C_1E572976D134_.wvu.Rows" sId="1"/>
    <undo index="65535" exp="area" ref3D="1" dr="$A$297:$XFD$334" dn="Z_1CA6CCC9_64EF_4CA9_9C9C_1E572976D134_.wvu.Rows" sId="1"/>
    <undo index="65535" exp="area" ref3D="1" dr="$A$270:$XFD$294" dn="Z_1CA6CCC9_64EF_4CA9_9C9C_1E572976D134_.wvu.Rows" sId="1"/>
    <undo index="65535" exp="area" ref3D="1" dr="$A$172:$XFD$268" dn="Z_1CA6CCC9_64EF_4CA9_9C9C_1E572976D134_.wvu.Rows" sId="1"/>
  </rrc>
  <rrc rId="1981" sId="1" ref="A215:XFD215" action="insertRow">
    <undo index="65535" exp="area" ref3D="1" dr="$A$934:$XFD$936" dn="Z_1CA6CCC9_64EF_4CA9_9C9C_1E572976D134_.wvu.Rows" sId="1"/>
    <undo index="65535" exp="area" ref3D="1" dr="$A$929:$XFD$931" dn="Z_1CA6CCC9_64EF_4CA9_9C9C_1E572976D134_.wvu.Rows" sId="1"/>
    <undo index="65535" exp="area" ref3D="1" dr="$A$906:$XFD$926" dn="Z_1CA6CCC9_64EF_4CA9_9C9C_1E572976D134_.wvu.Rows" sId="1"/>
    <undo index="65535" exp="area" ref3D="1" dr="$A$883:$XFD$904" dn="Z_1CA6CCC9_64EF_4CA9_9C9C_1E572976D134_.wvu.Rows" sId="1"/>
    <undo index="65535" exp="area" ref3D="1" dr="$A$877:$XFD$881" dn="Z_1CA6CCC9_64EF_4CA9_9C9C_1E572976D134_.wvu.Rows" sId="1"/>
    <undo index="65535" exp="area" ref3D="1" dr="$A$845:$XFD$874" dn="Z_1CA6CCC9_64EF_4CA9_9C9C_1E572976D134_.wvu.Rows" sId="1"/>
    <undo index="65535" exp="area" ref3D="1" dr="$A$830:$XFD$843" dn="Z_1CA6CCC9_64EF_4CA9_9C9C_1E572976D134_.wvu.Rows" sId="1"/>
    <undo index="65535" exp="area" ref3D="1" dr="$A$826:$XFD$828" dn="Z_1CA6CCC9_64EF_4CA9_9C9C_1E572976D134_.wvu.Rows" sId="1"/>
    <undo index="65535" exp="area" ref3D="1" dr="$A$801:$XFD$822" dn="Z_1CA6CCC9_64EF_4CA9_9C9C_1E572976D134_.wvu.Rows" sId="1"/>
    <undo index="65535" exp="area" ref3D="1" dr="$A$780:$XFD$799" dn="Z_1CA6CCC9_64EF_4CA9_9C9C_1E572976D134_.wvu.Rows" sId="1"/>
    <undo index="65535" exp="area" ref3D="1" dr="$A$728:$XFD$777" dn="Z_1CA6CCC9_64EF_4CA9_9C9C_1E572976D134_.wvu.Rows" sId="1"/>
    <undo index="65535" exp="area" ref3D="1" dr="$A$710:$XFD$726" dn="Z_1CA6CCC9_64EF_4CA9_9C9C_1E572976D134_.wvu.Rows" sId="1"/>
    <undo index="65535" exp="area" ref3D="1" dr="$A$687:$XFD$708" dn="Z_1CA6CCC9_64EF_4CA9_9C9C_1E572976D134_.wvu.Rows" sId="1"/>
    <undo index="65535" exp="area" ref3D="1" dr="$A$622:$XFD$685" dn="Z_1CA6CCC9_64EF_4CA9_9C9C_1E572976D134_.wvu.Rows" sId="1"/>
    <undo index="65535" exp="area" ref3D="1" dr="$A$600:$XFD$620" dn="Z_1CA6CCC9_64EF_4CA9_9C9C_1E572976D134_.wvu.Rows" sId="1"/>
    <undo index="65535" exp="area" ref3D="1" dr="$A$593:$XFD$597" dn="Z_1CA6CCC9_64EF_4CA9_9C9C_1E572976D134_.wvu.Rows" sId="1"/>
    <undo index="65535" exp="area" ref3D="1" dr="$A$571:$XFD$590" dn="Z_1CA6CCC9_64EF_4CA9_9C9C_1E572976D134_.wvu.Rows" sId="1"/>
    <undo index="65535" exp="area" ref3D="1" dr="$A$483:$XFD$569" dn="Z_1CA6CCC9_64EF_4CA9_9C9C_1E572976D134_.wvu.Rows" sId="1"/>
    <undo index="65535" exp="area" ref3D="1" dr="$A$337:$XFD$481" dn="Z_1CA6CCC9_64EF_4CA9_9C9C_1E572976D134_.wvu.Rows" sId="1"/>
    <undo index="65535" exp="area" ref3D="1" dr="$A$298:$XFD$335" dn="Z_1CA6CCC9_64EF_4CA9_9C9C_1E572976D134_.wvu.Rows" sId="1"/>
    <undo index="65535" exp="area" ref3D="1" dr="$A$271:$XFD$295" dn="Z_1CA6CCC9_64EF_4CA9_9C9C_1E572976D134_.wvu.Rows" sId="1"/>
    <undo index="65535" exp="area" ref3D="1" dr="$A$172:$XFD$269" dn="Z_1CA6CCC9_64EF_4CA9_9C9C_1E572976D134_.wvu.Rows" sId="1"/>
  </rrc>
  <rrc rId="1982" sId="1" ref="A215:XFD215" action="insertRow">
    <undo index="65535" exp="area" ref3D="1" dr="$A$935:$XFD$937" dn="Z_1CA6CCC9_64EF_4CA9_9C9C_1E572976D134_.wvu.Rows" sId="1"/>
    <undo index="65535" exp="area" ref3D="1" dr="$A$930:$XFD$932" dn="Z_1CA6CCC9_64EF_4CA9_9C9C_1E572976D134_.wvu.Rows" sId="1"/>
    <undo index="65535" exp="area" ref3D="1" dr="$A$907:$XFD$927" dn="Z_1CA6CCC9_64EF_4CA9_9C9C_1E572976D134_.wvu.Rows" sId="1"/>
    <undo index="65535" exp="area" ref3D="1" dr="$A$884:$XFD$905" dn="Z_1CA6CCC9_64EF_4CA9_9C9C_1E572976D134_.wvu.Rows" sId="1"/>
    <undo index="65535" exp="area" ref3D="1" dr="$A$878:$XFD$882" dn="Z_1CA6CCC9_64EF_4CA9_9C9C_1E572976D134_.wvu.Rows" sId="1"/>
    <undo index="65535" exp="area" ref3D="1" dr="$A$846:$XFD$875" dn="Z_1CA6CCC9_64EF_4CA9_9C9C_1E572976D134_.wvu.Rows" sId="1"/>
    <undo index="65535" exp="area" ref3D="1" dr="$A$831:$XFD$844" dn="Z_1CA6CCC9_64EF_4CA9_9C9C_1E572976D134_.wvu.Rows" sId="1"/>
    <undo index="65535" exp="area" ref3D="1" dr="$A$827:$XFD$829" dn="Z_1CA6CCC9_64EF_4CA9_9C9C_1E572976D134_.wvu.Rows" sId="1"/>
    <undo index="65535" exp="area" ref3D="1" dr="$A$802:$XFD$823" dn="Z_1CA6CCC9_64EF_4CA9_9C9C_1E572976D134_.wvu.Rows" sId="1"/>
    <undo index="65535" exp="area" ref3D="1" dr="$A$781:$XFD$800" dn="Z_1CA6CCC9_64EF_4CA9_9C9C_1E572976D134_.wvu.Rows" sId="1"/>
    <undo index="65535" exp="area" ref3D="1" dr="$A$729:$XFD$778" dn="Z_1CA6CCC9_64EF_4CA9_9C9C_1E572976D134_.wvu.Rows" sId="1"/>
    <undo index="65535" exp="area" ref3D="1" dr="$A$711:$XFD$727" dn="Z_1CA6CCC9_64EF_4CA9_9C9C_1E572976D134_.wvu.Rows" sId="1"/>
    <undo index="65535" exp="area" ref3D="1" dr="$A$688:$XFD$709" dn="Z_1CA6CCC9_64EF_4CA9_9C9C_1E572976D134_.wvu.Rows" sId="1"/>
    <undo index="65535" exp="area" ref3D="1" dr="$A$623:$XFD$686" dn="Z_1CA6CCC9_64EF_4CA9_9C9C_1E572976D134_.wvu.Rows" sId="1"/>
    <undo index="65535" exp="area" ref3D="1" dr="$A$601:$XFD$621" dn="Z_1CA6CCC9_64EF_4CA9_9C9C_1E572976D134_.wvu.Rows" sId="1"/>
    <undo index="65535" exp="area" ref3D="1" dr="$A$594:$XFD$598" dn="Z_1CA6CCC9_64EF_4CA9_9C9C_1E572976D134_.wvu.Rows" sId="1"/>
    <undo index="65535" exp="area" ref3D="1" dr="$A$572:$XFD$591" dn="Z_1CA6CCC9_64EF_4CA9_9C9C_1E572976D134_.wvu.Rows" sId="1"/>
    <undo index="65535" exp="area" ref3D="1" dr="$A$484:$XFD$570" dn="Z_1CA6CCC9_64EF_4CA9_9C9C_1E572976D134_.wvu.Rows" sId="1"/>
    <undo index="65535" exp="area" ref3D="1" dr="$A$338:$XFD$482" dn="Z_1CA6CCC9_64EF_4CA9_9C9C_1E572976D134_.wvu.Rows" sId="1"/>
    <undo index="65535" exp="area" ref3D="1" dr="$A$299:$XFD$336" dn="Z_1CA6CCC9_64EF_4CA9_9C9C_1E572976D134_.wvu.Rows" sId="1"/>
    <undo index="65535" exp="area" ref3D="1" dr="$A$272:$XFD$296" dn="Z_1CA6CCC9_64EF_4CA9_9C9C_1E572976D134_.wvu.Rows" sId="1"/>
    <undo index="65535" exp="area" ref3D="1" dr="$A$172:$XFD$270" dn="Z_1CA6CCC9_64EF_4CA9_9C9C_1E572976D134_.wvu.Rows" sId="1"/>
  </rrc>
  <rrc rId="1983" sId="1" ref="A215:XFD215" action="insertRow">
    <undo index="65535" exp="area" ref3D="1" dr="$A$936:$XFD$938" dn="Z_1CA6CCC9_64EF_4CA9_9C9C_1E572976D134_.wvu.Rows" sId="1"/>
    <undo index="65535" exp="area" ref3D="1" dr="$A$931:$XFD$933" dn="Z_1CA6CCC9_64EF_4CA9_9C9C_1E572976D134_.wvu.Rows" sId="1"/>
    <undo index="65535" exp="area" ref3D="1" dr="$A$908:$XFD$928" dn="Z_1CA6CCC9_64EF_4CA9_9C9C_1E572976D134_.wvu.Rows" sId="1"/>
    <undo index="65535" exp="area" ref3D="1" dr="$A$885:$XFD$906" dn="Z_1CA6CCC9_64EF_4CA9_9C9C_1E572976D134_.wvu.Rows" sId="1"/>
    <undo index="65535" exp="area" ref3D="1" dr="$A$879:$XFD$883" dn="Z_1CA6CCC9_64EF_4CA9_9C9C_1E572976D134_.wvu.Rows" sId="1"/>
    <undo index="65535" exp="area" ref3D="1" dr="$A$847:$XFD$876" dn="Z_1CA6CCC9_64EF_4CA9_9C9C_1E572976D134_.wvu.Rows" sId="1"/>
    <undo index="65535" exp="area" ref3D="1" dr="$A$832:$XFD$845" dn="Z_1CA6CCC9_64EF_4CA9_9C9C_1E572976D134_.wvu.Rows" sId="1"/>
    <undo index="65535" exp="area" ref3D="1" dr="$A$828:$XFD$830" dn="Z_1CA6CCC9_64EF_4CA9_9C9C_1E572976D134_.wvu.Rows" sId="1"/>
    <undo index="65535" exp="area" ref3D="1" dr="$A$803:$XFD$824" dn="Z_1CA6CCC9_64EF_4CA9_9C9C_1E572976D134_.wvu.Rows" sId="1"/>
    <undo index="65535" exp="area" ref3D="1" dr="$A$782:$XFD$801" dn="Z_1CA6CCC9_64EF_4CA9_9C9C_1E572976D134_.wvu.Rows" sId="1"/>
    <undo index="65535" exp="area" ref3D="1" dr="$A$730:$XFD$779" dn="Z_1CA6CCC9_64EF_4CA9_9C9C_1E572976D134_.wvu.Rows" sId="1"/>
    <undo index="65535" exp="area" ref3D="1" dr="$A$712:$XFD$728" dn="Z_1CA6CCC9_64EF_4CA9_9C9C_1E572976D134_.wvu.Rows" sId="1"/>
    <undo index="65535" exp="area" ref3D="1" dr="$A$689:$XFD$710" dn="Z_1CA6CCC9_64EF_4CA9_9C9C_1E572976D134_.wvu.Rows" sId="1"/>
    <undo index="65535" exp="area" ref3D="1" dr="$A$624:$XFD$687" dn="Z_1CA6CCC9_64EF_4CA9_9C9C_1E572976D134_.wvu.Rows" sId="1"/>
    <undo index="65535" exp="area" ref3D="1" dr="$A$602:$XFD$622" dn="Z_1CA6CCC9_64EF_4CA9_9C9C_1E572976D134_.wvu.Rows" sId="1"/>
    <undo index="65535" exp="area" ref3D="1" dr="$A$595:$XFD$599" dn="Z_1CA6CCC9_64EF_4CA9_9C9C_1E572976D134_.wvu.Rows" sId="1"/>
    <undo index="65535" exp="area" ref3D="1" dr="$A$573:$XFD$592" dn="Z_1CA6CCC9_64EF_4CA9_9C9C_1E572976D134_.wvu.Rows" sId="1"/>
    <undo index="65535" exp="area" ref3D="1" dr="$A$485:$XFD$571" dn="Z_1CA6CCC9_64EF_4CA9_9C9C_1E572976D134_.wvu.Rows" sId="1"/>
    <undo index="65535" exp="area" ref3D="1" dr="$A$339:$XFD$483" dn="Z_1CA6CCC9_64EF_4CA9_9C9C_1E572976D134_.wvu.Rows" sId="1"/>
    <undo index="65535" exp="area" ref3D="1" dr="$A$300:$XFD$337" dn="Z_1CA6CCC9_64EF_4CA9_9C9C_1E572976D134_.wvu.Rows" sId="1"/>
    <undo index="65535" exp="area" ref3D="1" dr="$A$273:$XFD$297" dn="Z_1CA6CCC9_64EF_4CA9_9C9C_1E572976D134_.wvu.Rows" sId="1"/>
    <undo index="65535" exp="area" ref3D="1" dr="$A$172:$XFD$271" dn="Z_1CA6CCC9_64EF_4CA9_9C9C_1E572976D134_.wvu.Rows" sId="1"/>
  </rrc>
  <rrc rId="1984" sId="1" ref="A215:XFD215" action="insertRow">
    <undo index="65535" exp="area" ref3D="1" dr="$A$937:$XFD$939" dn="Z_1CA6CCC9_64EF_4CA9_9C9C_1E572976D134_.wvu.Rows" sId="1"/>
    <undo index="65535" exp="area" ref3D="1" dr="$A$932:$XFD$934" dn="Z_1CA6CCC9_64EF_4CA9_9C9C_1E572976D134_.wvu.Rows" sId="1"/>
    <undo index="65535" exp="area" ref3D="1" dr="$A$909:$XFD$929" dn="Z_1CA6CCC9_64EF_4CA9_9C9C_1E572976D134_.wvu.Rows" sId="1"/>
    <undo index="65535" exp="area" ref3D="1" dr="$A$886:$XFD$907" dn="Z_1CA6CCC9_64EF_4CA9_9C9C_1E572976D134_.wvu.Rows" sId="1"/>
    <undo index="65535" exp="area" ref3D="1" dr="$A$880:$XFD$884" dn="Z_1CA6CCC9_64EF_4CA9_9C9C_1E572976D134_.wvu.Rows" sId="1"/>
    <undo index="65535" exp="area" ref3D="1" dr="$A$848:$XFD$877" dn="Z_1CA6CCC9_64EF_4CA9_9C9C_1E572976D134_.wvu.Rows" sId="1"/>
    <undo index="65535" exp="area" ref3D="1" dr="$A$833:$XFD$846" dn="Z_1CA6CCC9_64EF_4CA9_9C9C_1E572976D134_.wvu.Rows" sId="1"/>
    <undo index="65535" exp="area" ref3D="1" dr="$A$829:$XFD$831" dn="Z_1CA6CCC9_64EF_4CA9_9C9C_1E572976D134_.wvu.Rows" sId="1"/>
    <undo index="65535" exp="area" ref3D="1" dr="$A$804:$XFD$825" dn="Z_1CA6CCC9_64EF_4CA9_9C9C_1E572976D134_.wvu.Rows" sId="1"/>
    <undo index="65535" exp="area" ref3D="1" dr="$A$783:$XFD$802" dn="Z_1CA6CCC9_64EF_4CA9_9C9C_1E572976D134_.wvu.Rows" sId="1"/>
    <undo index="65535" exp="area" ref3D="1" dr="$A$731:$XFD$780" dn="Z_1CA6CCC9_64EF_4CA9_9C9C_1E572976D134_.wvu.Rows" sId="1"/>
    <undo index="65535" exp="area" ref3D="1" dr="$A$713:$XFD$729" dn="Z_1CA6CCC9_64EF_4CA9_9C9C_1E572976D134_.wvu.Rows" sId="1"/>
    <undo index="65535" exp="area" ref3D="1" dr="$A$690:$XFD$711" dn="Z_1CA6CCC9_64EF_4CA9_9C9C_1E572976D134_.wvu.Rows" sId="1"/>
    <undo index="65535" exp="area" ref3D="1" dr="$A$625:$XFD$688" dn="Z_1CA6CCC9_64EF_4CA9_9C9C_1E572976D134_.wvu.Rows" sId="1"/>
    <undo index="65535" exp="area" ref3D="1" dr="$A$603:$XFD$623" dn="Z_1CA6CCC9_64EF_4CA9_9C9C_1E572976D134_.wvu.Rows" sId="1"/>
    <undo index="65535" exp="area" ref3D="1" dr="$A$596:$XFD$600" dn="Z_1CA6CCC9_64EF_4CA9_9C9C_1E572976D134_.wvu.Rows" sId="1"/>
    <undo index="65535" exp="area" ref3D="1" dr="$A$574:$XFD$593" dn="Z_1CA6CCC9_64EF_4CA9_9C9C_1E572976D134_.wvu.Rows" sId="1"/>
    <undo index="65535" exp="area" ref3D="1" dr="$A$486:$XFD$572" dn="Z_1CA6CCC9_64EF_4CA9_9C9C_1E572976D134_.wvu.Rows" sId="1"/>
    <undo index="65535" exp="area" ref3D="1" dr="$A$340:$XFD$484" dn="Z_1CA6CCC9_64EF_4CA9_9C9C_1E572976D134_.wvu.Rows" sId="1"/>
    <undo index="65535" exp="area" ref3D="1" dr="$A$301:$XFD$338" dn="Z_1CA6CCC9_64EF_4CA9_9C9C_1E572976D134_.wvu.Rows" sId="1"/>
    <undo index="65535" exp="area" ref3D="1" dr="$A$274:$XFD$298" dn="Z_1CA6CCC9_64EF_4CA9_9C9C_1E572976D134_.wvu.Rows" sId="1"/>
    <undo index="65535" exp="area" ref3D="1" dr="$A$172:$XFD$272" dn="Z_1CA6CCC9_64EF_4CA9_9C9C_1E572976D134_.wvu.Rows" sId="1"/>
  </rrc>
  <rfmt sheetId="1" s="1" sqref="A21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dxf>
  </rfmt>
  <rfmt sheetId="1" sqref="A216" start="0" length="0">
    <dxf>
      <font>
        <sz val="12"/>
        <name val="Times New Roman"/>
        <family val="1"/>
      </font>
      <numFmt numFmtId="1" formatCode="0"/>
      <fill>
        <patternFill patternType="solid">
          <bgColor theme="9" tint="0.59999389629810485"/>
        </patternFill>
      </fill>
    </dxf>
  </rfmt>
  <rfmt sheetId="1" s="1" sqref="A217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dxf>
  </rfmt>
  <rfmt sheetId="1" sqref="A218" start="0" length="0">
    <dxf>
      <font>
        <sz val="12"/>
        <name val="Times New Roman"/>
        <family val="1"/>
      </font>
      <numFmt numFmtId="1" formatCode="0"/>
      <fill>
        <patternFill patternType="solid">
          <bgColor theme="9" tint="0.59999389629810485"/>
        </patternFill>
      </fill>
    </dxf>
  </rfmt>
  <rfmt sheetId="1" s="1" sqref="A219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dxf>
  </rfmt>
  <rfmt sheetId="1" sqref="A220" start="0" length="0">
    <dxf>
      <font>
        <sz val="12"/>
        <name val="Times New Roman"/>
        <family val="1"/>
      </font>
      <numFmt numFmtId="1" formatCode="0"/>
      <fill>
        <patternFill patternType="solid">
          <bgColor theme="9" tint="0.59999389629810485"/>
        </patternFill>
      </fill>
    </dxf>
  </rfmt>
  <rfmt sheetId="1" sqref="B215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5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5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6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6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6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7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7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7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8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8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8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9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9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9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20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20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20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1985" sId="1" numFmtId="4">
    <nc r="F216">
      <v>107700</v>
    </nc>
  </rcc>
  <rcc rId="1986" sId="1" numFmtId="4">
    <nc r="F218">
      <v>244300</v>
    </nc>
  </rcc>
  <rcc rId="1987" sId="1" numFmtId="4">
    <nc r="F220">
      <v>35000</v>
    </nc>
  </rcc>
  <rcc rId="1988" sId="1">
    <nc r="F215">
      <f>+F216</f>
    </nc>
  </rcc>
  <rcc rId="1989" sId="1">
    <nc r="F217">
      <f>+F218</f>
    </nc>
  </rcc>
  <rcc rId="1990" sId="1">
    <nc r="F219">
      <f>+F220</f>
    </nc>
  </rcc>
  <rcc rId="1991" sId="1">
    <nc r="E215">
      <f>+E216</f>
    </nc>
  </rcc>
  <rcc rId="1992" sId="1">
    <nc r="G215">
      <f>+G216</f>
    </nc>
  </rcc>
  <rcc rId="1993" sId="1">
    <nc r="E217">
      <f>+E218</f>
    </nc>
  </rcc>
  <rcc rId="1994" sId="1">
    <nc r="G217">
      <f>+G218</f>
    </nc>
  </rcc>
  <rcc rId="1995" sId="1">
    <nc r="E219">
      <f>+E220</f>
    </nc>
  </rcc>
  <rcc rId="1996" sId="1">
    <nc r="G219">
      <f>+G220</f>
    </nc>
  </rcc>
  <rcc rId="1997" sId="1" odxf="1" s="1" dxf="1">
    <nc r="A215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  <alignment horizontal="general" vertical="top"/>
    </ndxf>
  </rcc>
  <rcc rId="1998" sId="1" odxf="1" dxf="1">
    <nc r="B215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1999" sId="1" odxf="1" dxf="1">
    <nc r="C215" t="inlineStr">
      <is>
        <t>02 1 И8 9Д11О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fmt sheetId="1" sqref="D21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000" sId="1" odxf="1" dxf="1">
    <nc r="A216" t="inlineStr">
      <is>
        <t>Закупка товаров, работ и услуг для обеспечения государственных (муниципальных) нужд</t>
      </is>
    </nc>
    <n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ndxf>
  </rcc>
  <rcc rId="2001" sId="1" odxf="1" dxf="1">
    <nc r="B216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2" sId="1" odxf="1" dxf="1">
    <nc r="C216" t="inlineStr">
      <is>
        <t>02 1 И8 9Д11О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cc rId="2003" sId="1" odxf="1" dxf="1">
    <nc r="D216" t="inlineStr">
      <is>
        <t>200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4" sId="1" odxf="1" s="1" dxf="1">
    <nc r="A217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ул.Студенческая от ул. Загородная до ул.Промышленная)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  <alignment horizontal="general" vertical="top"/>
    </ndxf>
  </rcc>
  <rcc rId="2005" sId="1" odxf="1" dxf="1">
    <nc r="B217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6" sId="1" odxf="1" dxf="1">
    <nc r="C217" t="inlineStr">
      <is>
        <t>02 1 И8 9Д11П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fmt sheetId="1" sqref="D21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007" sId="1" odxf="1" dxf="1">
    <nc r="A218" t="inlineStr">
      <is>
        <t>Закупка товаров, работ и услуг для обеспечения государственных (муниципальных) нужд</t>
      </is>
    </nc>
    <n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ndxf>
  </rcc>
  <rcc rId="2008" sId="1" odxf="1" dxf="1">
    <nc r="B218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9" sId="1" odxf="1" dxf="1">
    <nc r="C218" t="inlineStr">
      <is>
        <t>02 1 И8 9Д11П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cc rId="2010" sId="1" odxf="1" dxf="1">
    <nc r="D218" t="inlineStr">
      <is>
        <t>200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11" sId="1" odxf="1" s="1" dxf="1">
    <nc r="A219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ул.Пионерская)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  <alignment horizontal="general" vertical="top"/>
    </ndxf>
  </rcc>
  <rcc rId="2012" sId="1" odxf="1" dxf="1">
    <nc r="B219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13" sId="1" odxf="1" dxf="1">
    <nc r="C219" t="inlineStr">
      <is>
        <t>02 1 И8 9Д11Р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fmt sheetId="1" sqref="D21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014" sId="1" odxf="1" dxf="1">
    <nc r="A220" t="inlineStr">
      <is>
        <t>Закупка товаров, работ и услуг для обеспечения государственных (муниципальных) нужд</t>
      </is>
    </nc>
    <n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ndxf>
  </rcc>
  <rcc rId="2015" sId="1" odxf="1" dxf="1">
    <nc r="B220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16" sId="1" odxf="1" dxf="1">
    <nc r="C220" t="inlineStr">
      <is>
        <t>02 1 И8 9Д11Р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cc rId="2017" sId="1" odxf="1" dxf="1">
    <nc r="D220" t="inlineStr">
      <is>
        <t>200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rc rId="2018" sId="1" ref="A223:XFD223" action="insertRow">
    <undo index="65535" exp="area" ref3D="1" dr="$A$938:$XFD$940" dn="Z_1CA6CCC9_64EF_4CA9_9C9C_1E572976D134_.wvu.Rows" sId="1"/>
    <undo index="65535" exp="area" ref3D="1" dr="$A$933:$XFD$935" dn="Z_1CA6CCC9_64EF_4CA9_9C9C_1E572976D134_.wvu.Rows" sId="1"/>
    <undo index="65535" exp="area" ref3D="1" dr="$A$910:$XFD$930" dn="Z_1CA6CCC9_64EF_4CA9_9C9C_1E572976D134_.wvu.Rows" sId="1"/>
    <undo index="65535" exp="area" ref3D="1" dr="$A$887:$XFD$908" dn="Z_1CA6CCC9_64EF_4CA9_9C9C_1E572976D134_.wvu.Rows" sId="1"/>
    <undo index="65535" exp="area" ref3D="1" dr="$A$881:$XFD$885" dn="Z_1CA6CCC9_64EF_4CA9_9C9C_1E572976D134_.wvu.Rows" sId="1"/>
    <undo index="65535" exp="area" ref3D="1" dr="$A$849:$XFD$878" dn="Z_1CA6CCC9_64EF_4CA9_9C9C_1E572976D134_.wvu.Rows" sId="1"/>
    <undo index="65535" exp="area" ref3D="1" dr="$A$834:$XFD$847" dn="Z_1CA6CCC9_64EF_4CA9_9C9C_1E572976D134_.wvu.Rows" sId="1"/>
    <undo index="65535" exp="area" ref3D="1" dr="$A$830:$XFD$832" dn="Z_1CA6CCC9_64EF_4CA9_9C9C_1E572976D134_.wvu.Rows" sId="1"/>
    <undo index="65535" exp="area" ref3D="1" dr="$A$805:$XFD$826" dn="Z_1CA6CCC9_64EF_4CA9_9C9C_1E572976D134_.wvu.Rows" sId="1"/>
    <undo index="65535" exp="area" ref3D="1" dr="$A$784:$XFD$803" dn="Z_1CA6CCC9_64EF_4CA9_9C9C_1E572976D134_.wvu.Rows" sId="1"/>
    <undo index="65535" exp="area" ref3D="1" dr="$A$732:$XFD$781" dn="Z_1CA6CCC9_64EF_4CA9_9C9C_1E572976D134_.wvu.Rows" sId="1"/>
    <undo index="65535" exp="area" ref3D="1" dr="$A$714:$XFD$730" dn="Z_1CA6CCC9_64EF_4CA9_9C9C_1E572976D134_.wvu.Rows" sId="1"/>
    <undo index="65535" exp="area" ref3D="1" dr="$A$691:$XFD$712" dn="Z_1CA6CCC9_64EF_4CA9_9C9C_1E572976D134_.wvu.Rows" sId="1"/>
    <undo index="65535" exp="area" ref3D="1" dr="$A$626:$XFD$689" dn="Z_1CA6CCC9_64EF_4CA9_9C9C_1E572976D134_.wvu.Rows" sId="1"/>
    <undo index="65535" exp="area" ref3D="1" dr="$A$604:$XFD$624" dn="Z_1CA6CCC9_64EF_4CA9_9C9C_1E572976D134_.wvu.Rows" sId="1"/>
    <undo index="65535" exp="area" ref3D="1" dr="$A$597:$XFD$601" dn="Z_1CA6CCC9_64EF_4CA9_9C9C_1E572976D134_.wvu.Rows" sId="1"/>
    <undo index="65535" exp="area" ref3D="1" dr="$A$575:$XFD$594" dn="Z_1CA6CCC9_64EF_4CA9_9C9C_1E572976D134_.wvu.Rows" sId="1"/>
    <undo index="65535" exp="area" ref3D="1" dr="$A$487:$XFD$573" dn="Z_1CA6CCC9_64EF_4CA9_9C9C_1E572976D134_.wvu.Rows" sId="1"/>
    <undo index="65535" exp="area" ref3D="1" dr="$A$341:$XFD$485" dn="Z_1CA6CCC9_64EF_4CA9_9C9C_1E572976D134_.wvu.Rows" sId="1"/>
    <undo index="65535" exp="area" ref3D="1" dr="$A$302:$XFD$339" dn="Z_1CA6CCC9_64EF_4CA9_9C9C_1E572976D134_.wvu.Rows" sId="1"/>
    <undo index="65535" exp="area" ref3D="1" dr="$A$275:$XFD$299" dn="Z_1CA6CCC9_64EF_4CA9_9C9C_1E572976D134_.wvu.Rows" sId="1"/>
    <undo index="65535" exp="area" ref3D="1" dr="$A$172:$XFD$273" dn="Z_1CA6CCC9_64EF_4CA9_9C9C_1E572976D134_.wvu.Rows" sId="1"/>
  </rrc>
  <rrc rId="2019" sId="1" ref="A223:XFD223" action="insertRow">
    <undo index="65535" exp="area" ref3D="1" dr="$A$939:$XFD$941" dn="Z_1CA6CCC9_64EF_4CA9_9C9C_1E572976D134_.wvu.Rows" sId="1"/>
    <undo index="65535" exp="area" ref3D="1" dr="$A$934:$XFD$936" dn="Z_1CA6CCC9_64EF_4CA9_9C9C_1E572976D134_.wvu.Rows" sId="1"/>
    <undo index="65535" exp="area" ref3D="1" dr="$A$911:$XFD$931" dn="Z_1CA6CCC9_64EF_4CA9_9C9C_1E572976D134_.wvu.Rows" sId="1"/>
    <undo index="65535" exp="area" ref3D="1" dr="$A$888:$XFD$909" dn="Z_1CA6CCC9_64EF_4CA9_9C9C_1E572976D134_.wvu.Rows" sId="1"/>
    <undo index="65535" exp="area" ref3D="1" dr="$A$882:$XFD$886" dn="Z_1CA6CCC9_64EF_4CA9_9C9C_1E572976D134_.wvu.Rows" sId="1"/>
    <undo index="65535" exp="area" ref3D="1" dr="$A$850:$XFD$879" dn="Z_1CA6CCC9_64EF_4CA9_9C9C_1E572976D134_.wvu.Rows" sId="1"/>
    <undo index="65535" exp="area" ref3D="1" dr="$A$835:$XFD$848" dn="Z_1CA6CCC9_64EF_4CA9_9C9C_1E572976D134_.wvu.Rows" sId="1"/>
    <undo index="65535" exp="area" ref3D="1" dr="$A$831:$XFD$833" dn="Z_1CA6CCC9_64EF_4CA9_9C9C_1E572976D134_.wvu.Rows" sId="1"/>
    <undo index="65535" exp="area" ref3D="1" dr="$A$806:$XFD$827" dn="Z_1CA6CCC9_64EF_4CA9_9C9C_1E572976D134_.wvu.Rows" sId="1"/>
    <undo index="65535" exp="area" ref3D="1" dr="$A$785:$XFD$804" dn="Z_1CA6CCC9_64EF_4CA9_9C9C_1E572976D134_.wvu.Rows" sId="1"/>
    <undo index="65535" exp="area" ref3D="1" dr="$A$733:$XFD$782" dn="Z_1CA6CCC9_64EF_4CA9_9C9C_1E572976D134_.wvu.Rows" sId="1"/>
    <undo index="65535" exp="area" ref3D="1" dr="$A$715:$XFD$731" dn="Z_1CA6CCC9_64EF_4CA9_9C9C_1E572976D134_.wvu.Rows" sId="1"/>
    <undo index="65535" exp="area" ref3D="1" dr="$A$692:$XFD$713" dn="Z_1CA6CCC9_64EF_4CA9_9C9C_1E572976D134_.wvu.Rows" sId="1"/>
    <undo index="65535" exp="area" ref3D="1" dr="$A$627:$XFD$690" dn="Z_1CA6CCC9_64EF_4CA9_9C9C_1E572976D134_.wvu.Rows" sId="1"/>
    <undo index="65535" exp="area" ref3D="1" dr="$A$605:$XFD$625" dn="Z_1CA6CCC9_64EF_4CA9_9C9C_1E572976D134_.wvu.Rows" sId="1"/>
    <undo index="65535" exp="area" ref3D="1" dr="$A$598:$XFD$602" dn="Z_1CA6CCC9_64EF_4CA9_9C9C_1E572976D134_.wvu.Rows" sId="1"/>
    <undo index="65535" exp="area" ref3D="1" dr="$A$576:$XFD$595" dn="Z_1CA6CCC9_64EF_4CA9_9C9C_1E572976D134_.wvu.Rows" sId="1"/>
    <undo index="65535" exp="area" ref3D="1" dr="$A$488:$XFD$574" dn="Z_1CA6CCC9_64EF_4CA9_9C9C_1E572976D134_.wvu.Rows" sId="1"/>
    <undo index="65535" exp="area" ref3D="1" dr="$A$342:$XFD$486" dn="Z_1CA6CCC9_64EF_4CA9_9C9C_1E572976D134_.wvu.Rows" sId="1"/>
    <undo index="65535" exp="area" ref3D="1" dr="$A$303:$XFD$340" dn="Z_1CA6CCC9_64EF_4CA9_9C9C_1E572976D134_.wvu.Rows" sId="1"/>
    <undo index="65535" exp="area" ref3D="1" dr="$A$276:$XFD$300" dn="Z_1CA6CCC9_64EF_4CA9_9C9C_1E572976D134_.wvu.Rows" sId="1"/>
    <undo index="65535" exp="area" ref3D="1" dr="$A$172:$XFD$274" dn="Z_1CA6CCC9_64EF_4CA9_9C9C_1E572976D134_.wvu.Rows" sId="1"/>
  </rrc>
  <rrc rId="2020" sId="1" ref="A223:XFD223" action="insertRow">
    <undo index="65535" exp="area" ref3D="1" dr="$A$940:$XFD$942" dn="Z_1CA6CCC9_64EF_4CA9_9C9C_1E572976D134_.wvu.Rows" sId="1"/>
    <undo index="65535" exp="area" ref3D="1" dr="$A$935:$XFD$937" dn="Z_1CA6CCC9_64EF_4CA9_9C9C_1E572976D134_.wvu.Rows" sId="1"/>
    <undo index="65535" exp="area" ref3D="1" dr="$A$912:$XFD$932" dn="Z_1CA6CCC9_64EF_4CA9_9C9C_1E572976D134_.wvu.Rows" sId="1"/>
    <undo index="65535" exp="area" ref3D="1" dr="$A$889:$XFD$910" dn="Z_1CA6CCC9_64EF_4CA9_9C9C_1E572976D134_.wvu.Rows" sId="1"/>
    <undo index="65535" exp="area" ref3D="1" dr="$A$883:$XFD$887" dn="Z_1CA6CCC9_64EF_4CA9_9C9C_1E572976D134_.wvu.Rows" sId="1"/>
    <undo index="65535" exp="area" ref3D="1" dr="$A$851:$XFD$880" dn="Z_1CA6CCC9_64EF_4CA9_9C9C_1E572976D134_.wvu.Rows" sId="1"/>
    <undo index="65535" exp="area" ref3D="1" dr="$A$836:$XFD$849" dn="Z_1CA6CCC9_64EF_4CA9_9C9C_1E572976D134_.wvu.Rows" sId="1"/>
    <undo index="65535" exp="area" ref3D="1" dr="$A$832:$XFD$834" dn="Z_1CA6CCC9_64EF_4CA9_9C9C_1E572976D134_.wvu.Rows" sId="1"/>
    <undo index="65535" exp="area" ref3D="1" dr="$A$807:$XFD$828" dn="Z_1CA6CCC9_64EF_4CA9_9C9C_1E572976D134_.wvu.Rows" sId="1"/>
    <undo index="65535" exp="area" ref3D="1" dr="$A$786:$XFD$805" dn="Z_1CA6CCC9_64EF_4CA9_9C9C_1E572976D134_.wvu.Rows" sId="1"/>
    <undo index="65535" exp="area" ref3D="1" dr="$A$734:$XFD$783" dn="Z_1CA6CCC9_64EF_4CA9_9C9C_1E572976D134_.wvu.Rows" sId="1"/>
    <undo index="65535" exp="area" ref3D="1" dr="$A$716:$XFD$732" dn="Z_1CA6CCC9_64EF_4CA9_9C9C_1E572976D134_.wvu.Rows" sId="1"/>
    <undo index="65535" exp="area" ref3D="1" dr="$A$693:$XFD$714" dn="Z_1CA6CCC9_64EF_4CA9_9C9C_1E572976D134_.wvu.Rows" sId="1"/>
    <undo index="65535" exp="area" ref3D="1" dr="$A$628:$XFD$691" dn="Z_1CA6CCC9_64EF_4CA9_9C9C_1E572976D134_.wvu.Rows" sId="1"/>
    <undo index="65535" exp="area" ref3D="1" dr="$A$606:$XFD$626" dn="Z_1CA6CCC9_64EF_4CA9_9C9C_1E572976D134_.wvu.Rows" sId="1"/>
    <undo index="65535" exp="area" ref3D="1" dr="$A$599:$XFD$603" dn="Z_1CA6CCC9_64EF_4CA9_9C9C_1E572976D134_.wvu.Rows" sId="1"/>
    <undo index="65535" exp="area" ref3D="1" dr="$A$577:$XFD$596" dn="Z_1CA6CCC9_64EF_4CA9_9C9C_1E572976D134_.wvu.Rows" sId="1"/>
    <undo index="65535" exp="area" ref3D="1" dr="$A$489:$XFD$575" dn="Z_1CA6CCC9_64EF_4CA9_9C9C_1E572976D134_.wvu.Rows" sId="1"/>
    <undo index="65535" exp="area" ref3D="1" dr="$A$343:$XFD$487" dn="Z_1CA6CCC9_64EF_4CA9_9C9C_1E572976D134_.wvu.Rows" sId="1"/>
    <undo index="65535" exp="area" ref3D="1" dr="$A$304:$XFD$341" dn="Z_1CA6CCC9_64EF_4CA9_9C9C_1E572976D134_.wvu.Rows" sId="1"/>
    <undo index="65535" exp="area" ref3D="1" dr="$A$277:$XFD$301" dn="Z_1CA6CCC9_64EF_4CA9_9C9C_1E572976D134_.wvu.Rows" sId="1"/>
    <undo index="65535" exp="area" ref3D="1" dr="$A$172:$XFD$275" dn="Z_1CA6CCC9_64EF_4CA9_9C9C_1E572976D134_.wvu.Rows" sId="1"/>
  </rrc>
  <rrc rId="2021" sId="1" ref="A223:XFD223" action="insertRow">
    <undo index="65535" exp="area" ref3D="1" dr="$A$941:$XFD$943" dn="Z_1CA6CCC9_64EF_4CA9_9C9C_1E572976D134_.wvu.Rows" sId="1"/>
    <undo index="65535" exp="area" ref3D="1" dr="$A$936:$XFD$938" dn="Z_1CA6CCC9_64EF_4CA9_9C9C_1E572976D134_.wvu.Rows" sId="1"/>
    <undo index="65535" exp="area" ref3D="1" dr="$A$913:$XFD$933" dn="Z_1CA6CCC9_64EF_4CA9_9C9C_1E572976D134_.wvu.Rows" sId="1"/>
    <undo index="65535" exp="area" ref3D="1" dr="$A$890:$XFD$911" dn="Z_1CA6CCC9_64EF_4CA9_9C9C_1E572976D134_.wvu.Rows" sId="1"/>
    <undo index="65535" exp="area" ref3D="1" dr="$A$884:$XFD$888" dn="Z_1CA6CCC9_64EF_4CA9_9C9C_1E572976D134_.wvu.Rows" sId="1"/>
    <undo index="65535" exp="area" ref3D="1" dr="$A$852:$XFD$881" dn="Z_1CA6CCC9_64EF_4CA9_9C9C_1E572976D134_.wvu.Rows" sId="1"/>
    <undo index="65535" exp="area" ref3D="1" dr="$A$837:$XFD$850" dn="Z_1CA6CCC9_64EF_4CA9_9C9C_1E572976D134_.wvu.Rows" sId="1"/>
    <undo index="65535" exp="area" ref3D="1" dr="$A$833:$XFD$835" dn="Z_1CA6CCC9_64EF_4CA9_9C9C_1E572976D134_.wvu.Rows" sId="1"/>
    <undo index="65535" exp="area" ref3D="1" dr="$A$808:$XFD$829" dn="Z_1CA6CCC9_64EF_4CA9_9C9C_1E572976D134_.wvu.Rows" sId="1"/>
    <undo index="65535" exp="area" ref3D="1" dr="$A$787:$XFD$806" dn="Z_1CA6CCC9_64EF_4CA9_9C9C_1E572976D134_.wvu.Rows" sId="1"/>
    <undo index="65535" exp="area" ref3D="1" dr="$A$735:$XFD$784" dn="Z_1CA6CCC9_64EF_4CA9_9C9C_1E572976D134_.wvu.Rows" sId="1"/>
    <undo index="65535" exp="area" ref3D="1" dr="$A$717:$XFD$733" dn="Z_1CA6CCC9_64EF_4CA9_9C9C_1E572976D134_.wvu.Rows" sId="1"/>
    <undo index="65535" exp="area" ref3D="1" dr="$A$694:$XFD$715" dn="Z_1CA6CCC9_64EF_4CA9_9C9C_1E572976D134_.wvu.Rows" sId="1"/>
    <undo index="65535" exp="area" ref3D="1" dr="$A$629:$XFD$692" dn="Z_1CA6CCC9_64EF_4CA9_9C9C_1E572976D134_.wvu.Rows" sId="1"/>
    <undo index="65535" exp="area" ref3D="1" dr="$A$607:$XFD$627" dn="Z_1CA6CCC9_64EF_4CA9_9C9C_1E572976D134_.wvu.Rows" sId="1"/>
    <undo index="65535" exp="area" ref3D="1" dr="$A$600:$XFD$604" dn="Z_1CA6CCC9_64EF_4CA9_9C9C_1E572976D134_.wvu.Rows" sId="1"/>
    <undo index="65535" exp="area" ref3D="1" dr="$A$578:$XFD$597" dn="Z_1CA6CCC9_64EF_4CA9_9C9C_1E572976D134_.wvu.Rows" sId="1"/>
    <undo index="65535" exp="area" ref3D="1" dr="$A$490:$XFD$576" dn="Z_1CA6CCC9_64EF_4CA9_9C9C_1E572976D134_.wvu.Rows" sId="1"/>
    <undo index="65535" exp="area" ref3D="1" dr="$A$344:$XFD$488" dn="Z_1CA6CCC9_64EF_4CA9_9C9C_1E572976D134_.wvu.Rows" sId="1"/>
    <undo index="65535" exp="area" ref3D="1" dr="$A$305:$XFD$342" dn="Z_1CA6CCC9_64EF_4CA9_9C9C_1E572976D134_.wvu.Rows" sId="1"/>
    <undo index="65535" exp="area" ref3D="1" dr="$A$278:$XFD$302" dn="Z_1CA6CCC9_64EF_4CA9_9C9C_1E572976D134_.wvu.Rows" sId="1"/>
    <undo index="65535" exp="area" ref3D="1" dr="$A$172:$XFD$276" dn="Z_1CA6CCC9_64EF_4CA9_9C9C_1E572976D134_.wvu.Rows" sId="1"/>
  </rrc>
  <rrc rId="2022" sId="1" ref="A223:XFD223" action="insertRow">
    <undo index="65535" exp="area" ref3D="1" dr="$A$942:$XFD$944" dn="Z_1CA6CCC9_64EF_4CA9_9C9C_1E572976D134_.wvu.Rows" sId="1"/>
    <undo index="65535" exp="area" ref3D="1" dr="$A$937:$XFD$939" dn="Z_1CA6CCC9_64EF_4CA9_9C9C_1E572976D134_.wvu.Rows" sId="1"/>
    <undo index="65535" exp="area" ref3D="1" dr="$A$914:$XFD$934" dn="Z_1CA6CCC9_64EF_4CA9_9C9C_1E572976D134_.wvu.Rows" sId="1"/>
    <undo index="65535" exp="area" ref3D="1" dr="$A$891:$XFD$912" dn="Z_1CA6CCC9_64EF_4CA9_9C9C_1E572976D134_.wvu.Rows" sId="1"/>
    <undo index="65535" exp="area" ref3D="1" dr="$A$885:$XFD$889" dn="Z_1CA6CCC9_64EF_4CA9_9C9C_1E572976D134_.wvu.Rows" sId="1"/>
    <undo index="65535" exp="area" ref3D="1" dr="$A$853:$XFD$882" dn="Z_1CA6CCC9_64EF_4CA9_9C9C_1E572976D134_.wvu.Rows" sId="1"/>
    <undo index="65535" exp="area" ref3D="1" dr="$A$838:$XFD$851" dn="Z_1CA6CCC9_64EF_4CA9_9C9C_1E572976D134_.wvu.Rows" sId="1"/>
    <undo index="65535" exp="area" ref3D="1" dr="$A$834:$XFD$836" dn="Z_1CA6CCC9_64EF_4CA9_9C9C_1E572976D134_.wvu.Rows" sId="1"/>
    <undo index="65535" exp="area" ref3D="1" dr="$A$809:$XFD$830" dn="Z_1CA6CCC9_64EF_4CA9_9C9C_1E572976D134_.wvu.Rows" sId="1"/>
    <undo index="65535" exp="area" ref3D="1" dr="$A$788:$XFD$807" dn="Z_1CA6CCC9_64EF_4CA9_9C9C_1E572976D134_.wvu.Rows" sId="1"/>
    <undo index="65535" exp="area" ref3D="1" dr="$A$736:$XFD$785" dn="Z_1CA6CCC9_64EF_4CA9_9C9C_1E572976D134_.wvu.Rows" sId="1"/>
    <undo index="65535" exp="area" ref3D="1" dr="$A$718:$XFD$734" dn="Z_1CA6CCC9_64EF_4CA9_9C9C_1E572976D134_.wvu.Rows" sId="1"/>
    <undo index="65535" exp="area" ref3D="1" dr="$A$695:$XFD$716" dn="Z_1CA6CCC9_64EF_4CA9_9C9C_1E572976D134_.wvu.Rows" sId="1"/>
    <undo index="65535" exp="area" ref3D="1" dr="$A$630:$XFD$693" dn="Z_1CA6CCC9_64EF_4CA9_9C9C_1E572976D134_.wvu.Rows" sId="1"/>
    <undo index="65535" exp="area" ref3D="1" dr="$A$608:$XFD$628" dn="Z_1CA6CCC9_64EF_4CA9_9C9C_1E572976D134_.wvu.Rows" sId="1"/>
    <undo index="65535" exp="area" ref3D="1" dr="$A$601:$XFD$605" dn="Z_1CA6CCC9_64EF_4CA9_9C9C_1E572976D134_.wvu.Rows" sId="1"/>
    <undo index="65535" exp="area" ref3D="1" dr="$A$579:$XFD$598" dn="Z_1CA6CCC9_64EF_4CA9_9C9C_1E572976D134_.wvu.Rows" sId="1"/>
    <undo index="65535" exp="area" ref3D="1" dr="$A$491:$XFD$577" dn="Z_1CA6CCC9_64EF_4CA9_9C9C_1E572976D134_.wvu.Rows" sId="1"/>
    <undo index="65535" exp="area" ref3D="1" dr="$A$345:$XFD$489" dn="Z_1CA6CCC9_64EF_4CA9_9C9C_1E572976D134_.wvu.Rows" sId="1"/>
    <undo index="65535" exp="area" ref3D="1" dr="$A$306:$XFD$343" dn="Z_1CA6CCC9_64EF_4CA9_9C9C_1E572976D134_.wvu.Rows" sId="1"/>
    <undo index="65535" exp="area" ref3D="1" dr="$A$279:$XFD$303" dn="Z_1CA6CCC9_64EF_4CA9_9C9C_1E572976D134_.wvu.Rows" sId="1"/>
    <undo index="65535" exp="area" ref3D="1" dr="$A$172:$XFD$277" dn="Z_1CA6CCC9_64EF_4CA9_9C9C_1E572976D134_.wvu.Rows" sId="1"/>
  </rrc>
  <rrc rId="2023" sId="1" ref="A223:XFD223" action="insertRow">
    <undo index="65535" exp="area" ref3D="1" dr="$A$943:$XFD$945" dn="Z_1CA6CCC9_64EF_4CA9_9C9C_1E572976D134_.wvu.Rows" sId="1"/>
    <undo index="65535" exp="area" ref3D="1" dr="$A$938:$XFD$940" dn="Z_1CA6CCC9_64EF_4CA9_9C9C_1E572976D134_.wvu.Rows" sId="1"/>
    <undo index="65535" exp="area" ref3D="1" dr="$A$915:$XFD$935" dn="Z_1CA6CCC9_64EF_4CA9_9C9C_1E572976D134_.wvu.Rows" sId="1"/>
    <undo index="65535" exp="area" ref3D="1" dr="$A$892:$XFD$913" dn="Z_1CA6CCC9_64EF_4CA9_9C9C_1E572976D134_.wvu.Rows" sId="1"/>
    <undo index="65535" exp="area" ref3D="1" dr="$A$886:$XFD$890" dn="Z_1CA6CCC9_64EF_4CA9_9C9C_1E572976D134_.wvu.Rows" sId="1"/>
    <undo index="65535" exp="area" ref3D="1" dr="$A$854:$XFD$883" dn="Z_1CA6CCC9_64EF_4CA9_9C9C_1E572976D134_.wvu.Rows" sId="1"/>
    <undo index="65535" exp="area" ref3D="1" dr="$A$839:$XFD$852" dn="Z_1CA6CCC9_64EF_4CA9_9C9C_1E572976D134_.wvu.Rows" sId="1"/>
    <undo index="65535" exp="area" ref3D="1" dr="$A$835:$XFD$837" dn="Z_1CA6CCC9_64EF_4CA9_9C9C_1E572976D134_.wvu.Rows" sId="1"/>
    <undo index="65535" exp="area" ref3D="1" dr="$A$810:$XFD$831" dn="Z_1CA6CCC9_64EF_4CA9_9C9C_1E572976D134_.wvu.Rows" sId="1"/>
    <undo index="65535" exp="area" ref3D="1" dr="$A$789:$XFD$808" dn="Z_1CA6CCC9_64EF_4CA9_9C9C_1E572976D134_.wvu.Rows" sId="1"/>
    <undo index="65535" exp="area" ref3D="1" dr="$A$737:$XFD$786" dn="Z_1CA6CCC9_64EF_4CA9_9C9C_1E572976D134_.wvu.Rows" sId="1"/>
    <undo index="65535" exp="area" ref3D="1" dr="$A$719:$XFD$735" dn="Z_1CA6CCC9_64EF_4CA9_9C9C_1E572976D134_.wvu.Rows" sId="1"/>
    <undo index="65535" exp="area" ref3D="1" dr="$A$696:$XFD$717" dn="Z_1CA6CCC9_64EF_4CA9_9C9C_1E572976D134_.wvu.Rows" sId="1"/>
    <undo index="65535" exp="area" ref3D="1" dr="$A$631:$XFD$694" dn="Z_1CA6CCC9_64EF_4CA9_9C9C_1E572976D134_.wvu.Rows" sId="1"/>
    <undo index="65535" exp="area" ref3D="1" dr="$A$609:$XFD$629" dn="Z_1CA6CCC9_64EF_4CA9_9C9C_1E572976D134_.wvu.Rows" sId="1"/>
    <undo index="65535" exp="area" ref3D="1" dr="$A$602:$XFD$606" dn="Z_1CA6CCC9_64EF_4CA9_9C9C_1E572976D134_.wvu.Rows" sId="1"/>
    <undo index="65535" exp="area" ref3D="1" dr="$A$580:$XFD$599" dn="Z_1CA6CCC9_64EF_4CA9_9C9C_1E572976D134_.wvu.Rows" sId="1"/>
    <undo index="65535" exp="area" ref3D="1" dr="$A$492:$XFD$578" dn="Z_1CA6CCC9_64EF_4CA9_9C9C_1E572976D134_.wvu.Rows" sId="1"/>
    <undo index="65535" exp="area" ref3D="1" dr="$A$346:$XFD$490" dn="Z_1CA6CCC9_64EF_4CA9_9C9C_1E572976D134_.wvu.Rows" sId="1"/>
    <undo index="65535" exp="area" ref3D="1" dr="$A$307:$XFD$344" dn="Z_1CA6CCC9_64EF_4CA9_9C9C_1E572976D134_.wvu.Rows" sId="1"/>
    <undo index="65535" exp="area" ref3D="1" dr="$A$280:$XFD$304" dn="Z_1CA6CCC9_64EF_4CA9_9C9C_1E572976D134_.wvu.Rows" sId="1"/>
    <undo index="65535" exp="area" ref3D="1" dr="$A$172:$XFD$278" dn="Z_1CA6CCC9_64EF_4CA9_9C9C_1E572976D134_.wvu.Rows" sId="1"/>
  </rrc>
  <rrc rId="2024" sId="1" ref="A223:XFD223" action="insertRow">
    <undo index="65535" exp="area" ref3D="1" dr="$A$944:$XFD$946" dn="Z_1CA6CCC9_64EF_4CA9_9C9C_1E572976D134_.wvu.Rows" sId="1"/>
    <undo index="65535" exp="area" ref3D="1" dr="$A$939:$XFD$941" dn="Z_1CA6CCC9_64EF_4CA9_9C9C_1E572976D134_.wvu.Rows" sId="1"/>
    <undo index="65535" exp="area" ref3D="1" dr="$A$916:$XFD$936" dn="Z_1CA6CCC9_64EF_4CA9_9C9C_1E572976D134_.wvu.Rows" sId="1"/>
    <undo index="65535" exp="area" ref3D="1" dr="$A$893:$XFD$914" dn="Z_1CA6CCC9_64EF_4CA9_9C9C_1E572976D134_.wvu.Rows" sId="1"/>
    <undo index="65535" exp="area" ref3D="1" dr="$A$887:$XFD$891" dn="Z_1CA6CCC9_64EF_4CA9_9C9C_1E572976D134_.wvu.Rows" sId="1"/>
    <undo index="65535" exp="area" ref3D="1" dr="$A$855:$XFD$884" dn="Z_1CA6CCC9_64EF_4CA9_9C9C_1E572976D134_.wvu.Rows" sId="1"/>
    <undo index="65535" exp="area" ref3D="1" dr="$A$840:$XFD$853" dn="Z_1CA6CCC9_64EF_4CA9_9C9C_1E572976D134_.wvu.Rows" sId="1"/>
    <undo index="65535" exp="area" ref3D="1" dr="$A$836:$XFD$838" dn="Z_1CA6CCC9_64EF_4CA9_9C9C_1E572976D134_.wvu.Rows" sId="1"/>
    <undo index="65535" exp="area" ref3D="1" dr="$A$811:$XFD$832" dn="Z_1CA6CCC9_64EF_4CA9_9C9C_1E572976D134_.wvu.Rows" sId="1"/>
    <undo index="65535" exp="area" ref3D="1" dr="$A$790:$XFD$809" dn="Z_1CA6CCC9_64EF_4CA9_9C9C_1E572976D134_.wvu.Rows" sId="1"/>
    <undo index="65535" exp="area" ref3D="1" dr="$A$738:$XFD$787" dn="Z_1CA6CCC9_64EF_4CA9_9C9C_1E572976D134_.wvu.Rows" sId="1"/>
    <undo index="65535" exp="area" ref3D="1" dr="$A$720:$XFD$736" dn="Z_1CA6CCC9_64EF_4CA9_9C9C_1E572976D134_.wvu.Rows" sId="1"/>
    <undo index="65535" exp="area" ref3D="1" dr="$A$697:$XFD$718" dn="Z_1CA6CCC9_64EF_4CA9_9C9C_1E572976D134_.wvu.Rows" sId="1"/>
    <undo index="65535" exp="area" ref3D="1" dr="$A$632:$XFD$695" dn="Z_1CA6CCC9_64EF_4CA9_9C9C_1E572976D134_.wvu.Rows" sId="1"/>
    <undo index="65535" exp="area" ref3D="1" dr="$A$610:$XFD$630" dn="Z_1CA6CCC9_64EF_4CA9_9C9C_1E572976D134_.wvu.Rows" sId="1"/>
    <undo index="65535" exp="area" ref3D="1" dr="$A$603:$XFD$607" dn="Z_1CA6CCC9_64EF_4CA9_9C9C_1E572976D134_.wvu.Rows" sId="1"/>
    <undo index="65535" exp="area" ref3D="1" dr="$A$581:$XFD$600" dn="Z_1CA6CCC9_64EF_4CA9_9C9C_1E572976D134_.wvu.Rows" sId="1"/>
    <undo index="65535" exp="area" ref3D="1" dr="$A$493:$XFD$579" dn="Z_1CA6CCC9_64EF_4CA9_9C9C_1E572976D134_.wvu.Rows" sId="1"/>
    <undo index="65535" exp="area" ref3D="1" dr="$A$347:$XFD$491" dn="Z_1CA6CCC9_64EF_4CA9_9C9C_1E572976D134_.wvu.Rows" sId="1"/>
    <undo index="65535" exp="area" ref3D="1" dr="$A$308:$XFD$345" dn="Z_1CA6CCC9_64EF_4CA9_9C9C_1E572976D134_.wvu.Rows" sId="1"/>
    <undo index="65535" exp="area" ref3D="1" dr="$A$281:$XFD$305" dn="Z_1CA6CCC9_64EF_4CA9_9C9C_1E572976D134_.wvu.Rows" sId="1"/>
    <undo index="65535" exp="area" ref3D="1" dr="$A$172:$XFD$279" dn="Z_1CA6CCC9_64EF_4CA9_9C9C_1E572976D134_.wvu.Rows" sId="1"/>
  </rrc>
  <rrc rId="2025" sId="1" ref="A223:XFD223" action="insertRow">
    <undo index="65535" exp="area" ref3D="1" dr="$A$945:$XFD$947" dn="Z_1CA6CCC9_64EF_4CA9_9C9C_1E572976D134_.wvu.Rows" sId="1"/>
    <undo index="65535" exp="area" ref3D="1" dr="$A$940:$XFD$942" dn="Z_1CA6CCC9_64EF_4CA9_9C9C_1E572976D134_.wvu.Rows" sId="1"/>
    <undo index="65535" exp="area" ref3D="1" dr="$A$917:$XFD$937" dn="Z_1CA6CCC9_64EF_4CA9_9C9C_1E572976D134_.wvu.Rows" sId="1"/>
    <undo index="65535" exp="area" ref3D="1" dr="$A$894:$XFD$915" dn="Z_1CA6CCC9_64EF_4CA9_9C9C_1E572976D134_.wvu.Rows" sId="1"/>
    <undo index="65535" exp="area" ref3D="1" dr="$A$888:$XFD$892" dn="Z_1CA6CCC9_64EF_4CA9_9C9C_1E572976D134_.wvu.Rows" sId="1"/>
    <undo index="65535" exp="area" ref3D="1" dr="$A$856:$XFD$885" dn="Z_1CA6CCC9_64EF_4CA9_9C9C_1E572976D134_.wvu.Rows" sId="1"/>
    <undo index="65535" exp="area" ref3D="1" dr="$A$841:$XFD$854" dn="Z_1CA6CCC9_64EF_4CA9_9C9C_1E572976D134_.wvu.Rows" sId="1"/>
    <undo index="65535" exp="area" ref3D="1" dr="$A$837:$XFD$839" dn="Z_1CA6CCC9_64EF_4CA9_9C9C_1E572976D134_.wvu.Rows" sId="1"/>
    <undo index="65535" exp="area" ref3D="1" dr="$A$812:$XFD$833" dn="Z_1CA6CCC9_64EF_4CA9_9C9C_1E572976D134_.wvu.Rows" sId="1"/>
    <undo index="65535" exp="area" ref3D="1" dr="$A$791:$XFD$810" dn="Z_1CA6CCC9_64EF_4CA9_9C9C_1E572976D134_.wvu.Rows" sId="1"/>
    <undo index="65535" exp="area" ref3D="1" dr="$A$739:$XFD$788" dn="Z_1CA6CCC9_64EF_4CA9_9C9C_1E572976D134_.wvu.Rows" sId="1"/>
    <undo index="65535" exp="area" ref3D="1" dr="$A$721:$XFD$737" dn="Z_1CA6CCC9_64EF_4CA9_9C9C_1E572976D134_.wvu.Rows" sId="1"/>
    <undo index="65535" exp="area" ref3D="1" dr="$A$698:$XFD$719" dn="Z_1CA6CCC9_64EF_4CA9_9C9C_1E572976D134_.wvu.Rows" sId="1"/>
    <undo index="65535" exp="area" ref3D="1" dr="$A$633:$XFD$696" dn="Z_1CA6CCC9_64EF_4CA9_9C9C_1E572976D134_.wvu.Rows" sId="1"/>
    <undo index="65535" exp="area" ref3D="1" dr="$A$611:$XFD$631" dn="Z_1CA6CCC9_64EF_4CA9_9C9C_1E572976D134_.wvu.Rows" sId="1"/>
    <undo index="65535" exp="area" ref3D="1" dr="$A$604:$XFD$608" dn="Z_1CA6CCC9_64EF_4CA9_9C9C_1E572976D134_.wvu.Rows" sId="1"/>
    <undo index="65535" exp="area" ref3D="1" dr="$A$582:$XFD$601" dn="Z_1CA6CCC9_64EF_4CA9_9C9C_1E572976D134_.wvu.Rows" sId="1"/>
    <undo index="65535" exp="area" ref3D="1" dr="$A$494:$XFD$580" dn="Z_1CA6CCC9_64EF_4CA9_9C9C_1E572976D134_.wvu.Rows" sId="1"/>
    <undo index="65535" exp="area" ref3D="1" dr="$A$348:$XFD$492" dn="Z_1CA6CCC9_64EF_4CA9_9C9C_1E572976D134_.wvu.Rows" sId="1"/>
    <undo index="65535" exp="area" ref3D="1" dr="$A$309:$XFD$346" dn="Z_1CA6CCC9_64EF_4CA9_9C9C_1E572976D134_.wvu.Rows" sId="1"/>
    <undo index="65535" exp="area" ref3D="1" dr="$A$282:$XFD$306" dn="Z_1CA6CCC9_64EF_4CA9_9C9C_1E572976D134_.wvu.Rows" sId="1"/>
    <undo index="65535" exp="area" ref3D="1" dr="$A$172:$XFD$280" dn="Z_1CA6CCC9_64EF_4CA9_9C9C_1E572976D134_.wvu.Rows" sId="1"/>
  </rrc>
  <rrc rId="2026" sId="1" ref="A223:XFD223" action="insertRow">
    <undo index="65535" exp="area" ref3D="1" dr="$A$946:$XFD$948" dn="Z_1CA6CCC9_64EF_4CA9_9C9C_1E572976D134_.wvu.Rows" sId="1"/>
    <undo index="65535" exp="area" ref3D="1" dr="$A$941:$XFD$943" dn="Z_1CA6CCC9_64EF_4CA9_9C9C_1E572976D134_.wvu.Rows" sId="1"/>
    <undo index="65535" exp="area" ref3D="1" dr="$A$918:$XFD$938" dn="Z_1CA6CCC9_64EF_4CA9_9C9C_1E572976D134_.wvu.Rows" sId="1"/>
    <undo index="65535" exp="area" ref3D="1" dr="$A$895:$XFD$916" dn="Z_1CA6CCC9_64EF_4CA9_9C9C_1E572976D134_.wvu.Rows" sId="1"/>
    <undo index="65535" exp="area" ref3D="1" dr="$A$889:$XFD$893" dn="Z_1CA6CCC9_64EF_4CA9_9C9C_1E572976D134_.wvu.Rows" sId="1"/>
    <undo index="65535" exp="area" ref3D="1" dr="$A$857:$XFD$886" dn="Z_1CA6CCC9_64EF_4CA9_9C9C_1E572976D134_.wvu.Rows" sId="1"/>
    <undo index="65535" exp="area" ref3D="1" dr="$A$842:$XFD$855" dn="Z_1CA6CCC9_64EF_4CA9_9C9C_1E572976D134_.wvu.Rows" sId="1"/>
    <undo index="65535" exp="area" ref3D="1" dr="$A$838:$XFD$840" dn="Z_1CA6CCC9_64EF_4CA9_9C9C_1E572976D134_.wvu.Rows" sId="1"/>
    <undo index="65535" exp="area" ref3D="1" dr="$A$813:$XFD$834" dn="Z_1CA6CCC9_64EF_4CA9_9C9C_1E572976D134_.wvu.Rows" sId="1"/>
    <undo index="65535" exp="area" ref3D="1" dr="$A$792:$XFD$811" dn="Z_1CA6CCC9_64EF_4CA9_9C9C_1E572976D134_.wvu.Rows" sId="1"/>
    <undo index="65535" exp="area" ref3D="1" dr="$A$740:$XFD$789" dn="Z_1CA6CCC9_64EF_4CA9_9C9C_1E572976D134_.wvu.Rows" sId="1"/>
    <undo index="65535" exp="area" ref3D="1" dr="$A$722:$XFD$738" dn="Z_1CA6CCC9_64EF_4CA9_9C9C_1E572976D134_.wvu.Rows" sId="1"/>
    <undo index="65535" exp="area" ref3D="1" dr="$A$699:$XFD$720" dn="Z_1CA6CCC9_64EF_4CA9_9C9C_1E572976D134_.wvu.Rows" sId="1"/>
    <undo index="65535" exp="area" ref3D="1" dr="$A$634:$XFD$697" dn="Z_1CA6CCC9_64EF_4CA9_9C9C_1E572976D134_.wvu.Rows" sId="1"/>
    <undo index="65535" exp="area" ref3D="1" dr="$A$612:$XFD$632" dn="Z_1CA6CCC9_64EF_4CA9_9C9C_1E572976D134_.wvu.Rows" sId="1"/>
    <undo index="65535" exp="area" ref3D="1" dr="$A$605:$XFD$609" dn="Z_1CA6CCC9_64EF_4CA9_9C9C_1E572976D134_.wvu.Rows" sId="1"/>
    <undo index="65535" exp="area" ref3D="1" dr="$A$583:$XFD$602" dn="Z_1CA6CCC9_64EF_4CA9_9C9C_1E572976D134_.wvu.Rows" sId="1"/>
    <undo index="65535" exp="area" ref3D="1" dr="$A$495:$XFD$581" dn="Z_1CA6CCC9_64EF_4CA9_9C9C_1E572976D134_.wvu.Rows" sId="1"/>
    <undo index="65535" exp="area" ref3D="1" dr="$A$349:$XFD$493" dn="Z_1CA6CCC9_64EF_4CA9_9C9C_1E572976D134_.wvu.Rows" sId="1"/>
    <undo index="65535" exp="area" ref3D="1" dr="$A$310:$XFD$347" dn="Z_1CA6CCC9_64EF_4CA9_9C9C_1E572976D134_.wvu.Rows" sId="1"/>
    <undo index="65535" exp="area" ref3D="1" dr="$A$283:$XFD$307" dn="Z_1CA6CCC9_64EF_4CA9_9C9C_1E572976D134_.wvu.Rows" sId="1"/>
    <undo index="65535" exp="area" ref3D="1" dr="$A$172:$XFD$281" dn="Z_1CA6CCC9_64EF_4CA9_9C9C_1E572976D134_.wvu.Rows" sId="1"/>
  </rrc>
  <rrc rId="2027" sId="1" ref="A223:XFD223" action="insertRow">
    <undo index="65535" exp="area" ref3D="1" dr="$A$947:$XFD$949" dn="Z_1CA6CCC9_64EF_4CA9_9C9C_1E572976D134_.wvu.Rows" sId="1"/>
    <undo index="65535" exp="area" ref3D="1" dr="$A$942:$XFD$944" dn="Z_1CA6CCC9_64EF_4CA9_9C9C_1E572976D134_.wvu.Rows" sId="1"/>
    <undo index="65535" exp="area" ref3D="1" dr="$A$919:$XFD$939" dn="Z_1CA6CCC9_64EF_4CA9_9C9C_1E572976D134_.wvu.Rows" sId="1"/>
    <undo index="65535" exp="area" ref3D="1" dr="$A$896:$XFD$917" dn="Z_1CA6CCC9_64EF_4CA9_9C9C_1E572976D134_.wvu.Rows" sId="1"/>
    <undo index="65535" exp="area" ref3D="1" dr="$A$890:$XFD$894" dn="Z_1CA6CCC9_64EF_4CA9_9C9C_1E572976D134_.wvu.Rows" sId="1"/>
    <undo index="65535" exp="area" ref3D="1" dr="$A$858:$XFD$887" dn="Z_1CA6CCC9_64EF_4CA9_9C9C_1E572976D134_.wvu.Rows" sId="1"/>
    <undo index="65535" exp="area" ref3D="1" dr="$A$843:$XFD$856" dn="Z_1CA6CCC9_64EF_4CA9_9C9C_1E572976D134_.wvu.Rows" sId="1"/>
    <undo index="65535" exp="area" ref3D="1" dr="$A$839:$XFD$841" dn="Z_1CA6CCC9_64EF_4CA9_9C9C_1E572976D134_.wvu.Rows" sId="1"/>
    <undo index="65535" exp="area" ref3D="1" dr="$A$814:$XFD$835" dn="Z_1CA6CCC9_64EF_4CA9_9C9C_1E572976D134_.wvu.Rows" sId="1"/>
    <undo index="65535" exp="area" ref3D="1" dr="$A$793:$XFD$812" dn="Z_1CA6CCC9_64EF_4CA9_9C9C_1E572976D134_.wvu.Rows" sId="1"/>
    <undo index="65535" exp="area" ref3D="1" dr="$A$741:$XFD$790" dn="Z_1CA6CCC9_64EF_4CA9_9C9C_1E572976D134_.wvu.Rows" sId="1"/>
    <undo index="65535" exp="area" ref3D="1" dr="$A$723:$XFD$739" dn="Z_1CA6CCC9_64EF_4CA9_9C9C_1E572976D134_.wvu.Rows" sId="1"/>
    <undo index="65535" exp="area" ref3D="1" dr="$A$700:$XFD$721" dn="Z_1CA6CCC9_64EF_4CA9_9C9C_1E572976D134_.wvu.Rows" sId="1"/>
    <undo index="65535" exp="area" ref3D="1" dr="$A$635:$XFD$698" dn="Z_1CA6CCC9_64EF_4CA9_9C9C_1E572976D134_.wvu.Rows" sId="1"/>
    <undo index="65535" exp="area" ref3D="1" dr="$A$613:$XFD$633" dn="Z_1CA6CCC9_64EF_4CA9_9C9C_1E572976D134_.wvu.Rows" sId="1"/>
    <undo index="65535" exp="area" ref3D="1" dr="$A$606:$XFD$610" dn="Z_1CA6CCC9_64EF_4CA9_9C9C_1E572976D134_.wvu.Rows" sId="1"/>
    <undo index="65535" exp="area" ref3D="1" dr="$A$584:$XFD$603" dn="Z_1CA6CCC9_64EF_4CA9_9C9C_1E572976D134_.wvu.Rows" sId="1"/>
    <undo index="65535" exp="area" ref3D="1" dr="$A$496:$XFD$582" dn="Z_1CA6CCC9_64EF_4CA9_9C9C_1E572976D134_.wvu.Rows" sId="1"/>
    <undo index="65535" exp="area" ref3D="1" dr="$A$350:$XFD$494" dn="Z_1CA6CCC9_64EF_4CA9_9C9C_1E572976D134_.wvu.Rows" sId="1"/>
    <undo index="65535" exp="area" ref3D="1" dr="$A$311:$XFD$348" dn="Z_1CA6CCC9_64EF_4CA9_9C9C_1E572976D134_.wvu.Rows" sId="1"/>
    <undo index="65535" exp="area" ref3D="1" dr="$A$284:$XFD$308" dn="Z_1CA6CCC9_64EF_4CA9_9C9C_1E572976D134_.wvu.Rows" sId="1"/>
    <undo index="65535" exp="area" ref3D="1" dr="$A$172:$XFD$282" dn="Z_1CA6CCC9_64EF_4CA9_9C9C_1E572976D134_.wvu.Rows" sId="1"/>
  </rrc>
  <rcc rId="2028" sId="1" odxf="1" s="1" dxf="1">
    <nc r="A223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Тетральная)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29" sId="1" odxf="1" dxf="1">
    <nc r="A224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0" sId="1" odxf="1" s="1" dxf="1">
    <nc r="A225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1" sId="1" odxf="1" dxf="1">
    <nc r="A226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2" sId="1" odxf="1" s="1" dxf="1">
    <nc r="A227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3" sId="1" odxf="1" dxf="1">
    <nc r="A228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4" sId="1" odxf="1" s="1" dxf="1">
    <nc r="A229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5" sId="1" odxf="1" dxf="1">
    <nc r="A23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6" sId="1" odxf="1" s="1" dxf="1">
    <nc r="A231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7" sId="1" odxf="1" dxf="1">
    <nc r="A23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8" sId="1" odxf="1" dxf="1">
    <nc r="B223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9" sId="1" odxf="1" s="1" dxf="1">
    <nc r="C223" t="inlineStr">
      <is>
        <t>02 1 И8 9Д11Т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3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40" sId="1" odxf="1" dxf="1">
    <nc r="B224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1" sId="1" odxf="1" s="1" dxf="1">
    <nc r="C224" t="inlineStr">
      <is>
        <t>02 1 И8 9Д11Т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42" sId="1" odxf="1" dxf="1">
    <nc r="D224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3" sId="1" odxf="1" dxf="1">
    <nc r="B225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4" sId="1" odxf="1" s="1" dxf="1">
    <nc r="C225" t="inlineStr">
      <is>
        <t>02 1 И8 9Д11У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5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45" sId="1" odxf="1" dxf="1">
    <nc r="B226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6" sId="1" odxf="1" s="1" dxf="1">
    <nc r="C226" t="inlineStr">
      <is>
        <t>02 1 И8 9Д11У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47" sId="1" odxf="1" dxf="1">
    <nc r="D226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8" sId="1" odxf="1" dxf="1">
    <nc r="B227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9" sId="1" odxf="1" s="1" dxf="1">
    <nc r="C227" t="inlineStr">
      <is>
        <t>02 1 И8 9Д11Ф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7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50" sId="1" odxf="1" dxf="1">
    <nc r="B228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1" sId="1" odxf="1" s="1" dxf="1">
    <nc r="C228" t="inlineStr">
      <is>
        <t>02 1 И8 9Д11Ф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52" sId="1" odxf="1" dxf="1">
    <nc r="D228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3" sId="1" odxf="1" dxf="1">
    <nc r="B229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4" sId="1" odxf="1" s="1" dxf="1">
    <nc r="C229" t="inlineStr">
      <is>
        <t>02 1 И8 9Д11Х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9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55" sId="1" odxf="1" dxf="1">
    <nc r="B230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6" sId="1" odxf="1" s="1" dxf="1">
    <nc r="C230" t="inlineStr">
      <is>
        <t>02 1 И8 9Д11Х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57" sId="1" odxf="1" dxf="1">
    <nc r="D230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8" sId="1" odxf="1" dxf="1">
    <nc r="B231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9" sId="1" odxf="1" s="1" dxf="1">
    <nc r="C231" t="inlineStr">
      <is>
        <t>02 1 И8 9Д11Ц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31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60" sId="1" odxf="1" dxf="1">
    <nc r="B232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61" sId="1" odxf="1" s="1" dxf="1">
    <nc r="C232" t="inlineStr">
      <is>
        <t>02 1 И8 9Д11Ц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62" sId="1" odxf="1" dxf="1">
    <nc r="D232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63" sId="1" odxf="1" s="1" dxf="1">
    <nc r="F223">
      <f>F224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4" sId="1" odxf="1" s="1" dxf="1" numFmtId="4">
    <nc r="F224">
      <v>182788.8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5" sId="1" odxf="1" s="1" dxf="1">
    <nc r="F225">
      <f>F226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6" sId="1" odxf="1" s="1" dxf="1" numFmtId="4">
    <nc r="F226">
      <v>148300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7" sId="1" odxf="1" s="1" dxf="1">
    <nc r="F227">
      <f>F228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8" sId="1" odxf="1" s="1" dxf="1" numFmtId="4">
    <nc r="F228">
      <v>169200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9" sId="1" odxf="1" s="1" dxf="1">
    <nc r="F229">
      <f>F230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0" sId="1" odxf="1" s="1" dxf="1" numFmtId="4">
    <nc r="F230">
      <v>42400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1" sId="1" odxf="1" s="1" dxf="1">
    <nc r="F231">
      <f>F232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2" sId="1" odxf="1" s="1" dxf="1" numFmtId="4">
    <nc r="F232">
      <v>170400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3" sId="1" odxf="1" s="1" dxf="1">
    <nc r="E223">
      <f>E224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4" sId="1" odxf="1" s="1" dxf="1">
    <nc r="G223">
      <f>G224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5" sId="1" odxf="1" s="1" dxf="1">
    <nc r="E225">
      <f>E226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6" sId="1" odxf="1" s="1" dxf="1">
    <nc r="G225">
      <f>G226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7" sId="1" odxf="1" s="1" dxf="1">
    <nc r="E227">
      <f>E228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8" sId="1" odxf="1" s="1" dxf="1">
    <nc r="G227">
      <f>G228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9" sId="1" odxf="1" s="1" dxf="1">
    <nc r="E229">
      <f>E230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0" sId="1" odxf="1" s="1" dxf="1">
    <nc r="G229">
      <f>G230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1" sId="1" odxf="1" s="1" dxf="1">
    <nc r="E231">
      <f>E232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2" sId="1" odxf="1" s="1" dxf="1">
    <nc r="G231">
      <f>G232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3" sId="1">
    <oc r="F174">
      <f>F175+F177+F179+F181+F183+F185+F187+F189+F195+F191+F193+F197+F199+F201+F203+F205+F207+F209+F211+F221+F213</f>
    </oc>
    <nc r="F174">
      <f>F175+F177+F179+F181+F183+F185+F187+F189+F195+F191+F193+F197+F199+F201+F203+F205+F207+F209+F211+F221+F213+F215+F217+F219+F223+F225+F227+F229+F231</f>
    </nc>
  </rcc>
  <rcc rId="2084" sId="1">
    <oc r="F258">
      <v>5904.3</v>
    </oc>
    <nc r="F258">
      <f>5904.3-354.3-5550</f>
    </nc>
  </rcc>
  <rfmt sheetId="1" sqref="A257">
    <dxf>
      <fill>
        <patternFill patternType="solid">
          <bgColor theme="9" tint="0.79998168889431442"/>
        </patternFill>
      </fill>
    </dxf>
  </rfmt>
  <rcc rId="2085" sId="1" numFmtId="4">
    <oc r="F260">
      <v>110090.00000000001</v>
    </oc>
    <nc r="F260">
      <f>110090-2530.1-39637.8</f>
    </nc>
  </rcc>
  <rcc rId="2086" sId="1">
    <oc r="F262">
      <v>24385.100000000006</v>
    </oc>
    <nc r="F262">
      <f>24385.1+1381.1+21637</f>
    </nc>
  </rcc>
  <rcc rId="2087" sId="1" numFmtId="4">
    <oc r="F263">
      <v>28384.3</v>
    </oc>
    <nc r="F263">
      <f>28384.3-1703.1-26681.2</f>
    </nc>
  </rcc>
  <rcc rId="2088" sId="1" numFmtId="4">
    <oc r="F265">
      <v>0</v>
    </oc>
    <nc r="F265">
      <f>2852.1+44682</f>
    </nc>
  </rcc>
  <rcc rId="2089" sId="1">
    <nc r="F270">
      <f>354.3+5550</f>
    </nc>
  </rcc>
  <rrc rId="2090" sId="1" ref="A276:XFD276" action="insertRow"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7:$XFD$583" dn="Z_1CA6CCC9_64EF_4CA9_9C9C_1E572976D134_.wvu.Rows" sId="1"/>
    <undo index="65535" exp="area" ref3D="1" dr="$A$351:$XFD$495" dn="Z_1CA6CCC9_64EF_4CA9_9C9C_1E572976D134_.wvu.Rows" sId="1"/>
    <undo index="65535" exp="area" ref3D="1" dr="$A$312:$XFD$349" dn="Z_1CA6CCC9_64EF_4CA9_9C9C_1E572976D134_.wvu.Rows" sId="1"/>
    <undo index="65535" exp="area" ref3D="1" dr="$A$285:$XFD$309" dn="Z_1CA6CCC9_64EF_4CA9_9C9C_1E572976D134_.wvu.Rows" sId="1"/>
    <undo index="65535" exp="area" ref3D="1" dr="$A$172:$XFD$283" dn="Z_1CA6CCC9_64EF_4CA9_9C9C_1E572976D134_.wvu.Rows" sId="1"/>
  </rrc>
  <rcc rId="2091" sId="1" odxf="1" s="1" dxf="1">
    <nc r="A27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horizontal="general" vertical="bottom"/>
    </ndxf>
  </rcc>
  <rcc rId="2092" sId="1" odxf="1" s="1" dxf="1">
    <nc r="B276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rgb="FFFFFF00"/>
        </patternFill>
      </fill>
    </ndxf>
  </rcc>
  <rcc rId="2093" sId="1" odxf="1" s="1" dxf="1">
    <nc r="C276" t="inlineStr">
      <is>
        <t>02 3 02 9Д003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rgb="FFFFFF00"/>
        </patternFill>
      </fill>
    </ndxf>
  </rcc>
  <rcc rId="2094" sId="1" odxf="1" s="1" dxf="1">
    <nc r="D276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rgb="FFFFFF00"/>
        </patternFill>
      </fill>
    </ndxf>
  </rcc>
  <rcc rId="2095" sId="1" numFmtId="4">
    <nc r="F276">
      <v>78338.100000000006</v>
    </nc>
  </rcc>
  <rcc rId="2096" sId="1">
    <oc r="F275">
      <f>F277</f>
    </oc>
    <nc r="F275">
      <f>F277+F276</f>
    </nc>
  </rcc>
  <rcc rId="2097" sId="1" numFmtId="4">
    <oc r="F277">
      <v>273934.3</v>
    </oc>
    <nc r="F277">
      <f>273934.3-78338.1</f>
    </nc>
  </rcc>
  <rcc rId="2098" sId="1">
    <oc r="F234">
      <f>F235+F237+F259+F261+F264+F271+F249+F239+F254+F251+F241+F257+F245+F266+F247+F269</f>
    </oc>
    <nc r="F234">
      <f>F235+F237+F259+F261+F264+F271+F249+F239+F254+F251+F241+F257+F245+F266+F247+F269+F243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9" sId="1" numFmtId="4">
    <nc r="F385">
      <v>571400</v>
    </nc>
  </rcc>
  <rcc rId="2100" sId="1">
    <nc r="F395">
      <f>3794.2+58171.4</f>
    </nc>
  </rcc>
  <rcc rId="2101" sId="1">
    <nc r="F397">
      <f>3220.4+49375.2</f>
    </nc>
  </rcc>
  <rcc rId="2102" sId="1">
    <nc r="F399">
      <f>3783.1+58003.1</f>
    </nc>
  </rcc>
  <rcc rId="2103" sId="1">
    <oc r="F401">
      <v>307286.2</v>
    </oc>
    <nc r="F401">
      <f>307286.2-10567-165549.7</f>
    </nc>
  </rcc>
  <rrc rId="2104" sId="1" ref="A386:XFD386" action="insertRow">
    <undo index="65535" exp="area" ref3D="1" dr="$A$949:$XFD$951" dn="Z_1CA6CCC9_64EF_4CA9_9C9C_1E572976D134_.wvu.Rows" sId="1"/>
    <undo index="65535" exp="area" ref3D="1" dr="$A$944:$XFD$946" dn="Z_1CA6CCC9_64EF_4CA9_9C9C_1E572976D134_.wvu.Rows" sId="1"/>
    <undo index="65535" exp="area" ref3D="1" dr="$A$921:$XFD$941" dn="Z_1CA6CCC9_64EF_4CA9_9C9C_1E572976D134_.wvu.Rows" sId="1"/>
    <undo index="65535" exp="area" ref3D="1" dr="$A$898:$XFD$919" dn="Z_1CA6CCC9_64EF_4CA9_9C9C_1E572976D134_.wvu.Rows" sId="1"/>
    <undo index="65535" exp="area" ref3D="1" dr="$A$892:$XFD$896" dn="Z_1CA6CCC9_64EF_4CA9_9C9C_1E572976D134_.wvu.Rows" sId="1"/>
    <undo index="65535" exp="area" ref3D="1" dr="$A$860:$XFD$889" dn="Z_1CA6CCC9_64EF_4CA9_9C9C_1E572976D134_.wvu.Rows" sId="1"/>
    <undo index="65535" exp="area" ref3D="1" dr="$A$845:$XFD$858" dn="Z_1CA6CCC9_64EF_4CA9_9C9C_1E572976D134_.wvu.Rows" sId="1"/>
    <undo index="65535" exp="area" ref3D="1" dr="$A$841:$XFD$843" dn="Z_1CA6CCC9_64EF_4CA9_9C9C_1E572976D134_.wvu.Rows" sId="1"/>
    <undo index="65535" exp="area" ref3D="1" dr="$A$816:$XFD$837" dn="Z_1CA6CCC9_64EF_4CA9_9C9C_1E572976D134_.wvu.Rows" sId="1"/>
    <undo index="65535" exp="area" ref3D="1" dr="$A$795:$XFD$814" dn="Z_1CA6CCC9_64EF_4CA9_9C9C_1E572976D134_.wvu.Rows" sId="1"/>
    <undo index="65535" exp="area" ref3D="1" dr="$A$743:$XFD$792" dn="Z_1CA6CCC9_64EF_4CA9_9C9C_1E572976D134_.wvu.Rows" sId="1"/>
    <undo index="65535" exp="area" ref3D="1" dr="$A$725:$XFD$741" dn="Z_1CA6CCC9_64EF_4CA9_9C9C_1E572976D134_.wvu.Rows" sId="1"/>
    <undo index="65535" exp="area" ref3D="1" dr="$A$702:$XFD$723" dn="Z_1CA6CCC9_64EF_4CA9_9C9C_1E572976D134_.wvu.Rows" sId="1"/>
    <undo index="65535" exp="area" ref3D="1" dr="$A$637:$XFD$700" dn="Z_1CA6CCC9_64EF_4CA9_9C9C_1E572976D134_.wvu.Rows" sId="1"/>
    <undo index="65535" exp="area" ref3D="1" dr="$A$615:$XFD$635" dn="Z_1CA6CCC9_64EF_4CA9_9C9C_1E572976D134_.wvu.Rows" sId="1"/>
    <undo index="65535" exp="area" ref3D="1" dr="$A$608:$XFD$612" dn="Z_1CA6CCC9_64EF_4CA9_9C9C_1E572976D134_.wvu.Rows" sId="1"/>
    <undo index="65535" exp="area" ref3D="1" dr="$A$586:$XFD$605" dn="Z_1CA6CCC9_64EF_4CA9_9C9C_1E572976D134_.wvu.Rows" sId="1"/>
    <undo index="65535" exp="area" ref3D="1" dr="$A$498:$XFD$584" dn="Z_1CA6CCC9_64EF_4CA9_9C9C_1E572976D134_.wvu.Rows" sId="1"/>
    <undo index="65535" exp="area" ref3D="1" dr="$A$352:$XFD$496" dn="Z_1CA6CCC9_64EF_4CA9_9C9C_1E572976D134_.wvu.Rows" sId="1"/>
  </rrc>
  <rrc rId="2105" sId="1" ref="A386:XFD386" action="insertRow">
    <undo index="65535" exp="area" ref3D="1" dr="$A$950:$XFD$952" dn="Z_1CA6CCC9_64EF_4CA9_9C9C_1E572976D134_.wvu.Rows" sId="1"/>
    <undo index="65535" exp="area" ref3D="1" dr="$A$945:$XFD$947" dn="Z_1CA6CCC9_64EF_4CA9_9C9C_1E572976D134_.wvu.Rows" sId="1"/>
    <undo index="65535" exp="area" ref3D="1" dr="$A$922:$XFD$942" dn="Z_1CA6CCC9_64EF_4CA9_9C9C_1E572976D134_.wvu.Rows" sId="1"/>
    <undo index="65535" exp="area" ref3D="1" dr="$A$899:$XFD$920" dn="Z_1CA6CCC9_64EF_4CA9_9C9C_1E572976D134_.wvu.Rows" sId="1"/>
    <undo index="65535" exp="area" ref3D="1" dr="$A$893:$XFD$897" dn="Z_1CA6CCC9_64EF_4CA9_9C9C_1E572976D134_.wvu.Rows" sId="1"/>
    <undo index="65535" exp="area" ref3D="1" dr="$A$861:$XFD$890" dn="Z_1CA6CCC9_64EF_4CA9_9C9C_1E572976D134_.wvu.Rows" sId="1"/>
    <undo index="65535" exp="area" ref3D="1" dr="$A$846:$XFD$859" dn="Z_1CA6CCC9_64EF_4CA9_9C9C_1E572976D134_.wvu.Rows" sId="1"/>
    <undo index="65535" exp="area" ref3D="1" dr="$A$842:$XFD$844" dn="Z_1CA6CCC9_64EF_4CA9_9C9C_1E572976D134_.wvu.Rows" sId="1"/>
    <undo index="65535" exp="area" ref3D="1" dr="$A$817:$XFD$838" dn="Z_1CA6CCC9_64EF_4CA9_9C9C_1E572976D134_.wvu.Rows" sId="1"/>
    <undo index="65535" exp="area" ref3D="1" dr="$A$796:$XFD$815" dn="Z_1CA6CCC9_64EF_4CA9_9C9C_1E572976D134_.wvu.Rows" sId="1"/>
    <undo index="65535" exp="area" ref3D="1" dr="$A$744:$XFD$793" dn="Z_1CA6CCC9_64EF_4CA9_9C9C_1E572976D134_.wvu.Rows" sId="1"/>
    <undo index="65535" exp="area" ref3D="1" dr="$A$726:$XFD$742" dn="Z_1CA6CCC9_64EF_4CA9_9C9C_1E572976D134_.wvu.Rows" sId="1"/>
    <undo index="65535" exp="area" ref3D="1" dr="$A$703:$XFD$724" dn="Z_1CA6CCC9_64EF_4CA9_9C9C_1E572976D134_.wvu.Rows" sId="1"/>
    <undo index="65535" exp="area" ref3D="1" dr="$A$638:$XFD$701" dn="Z_1CA6CCC9_64EF_4CA9_9C9C_1E572976D134_.wvu.Rows" sId="1"/>
    <undo index="65535" exp="area" ref3D="1" dr="$A$616:$XFD$636" dn="Z_1CA6CCC9_64EF_4CA9_9C9C_1E572976D134_.wvu.Rows" sId="1"/>
    <undo index="65535" exp="area" ref3D="1" dr="$A$609:$XFD$613" dn="Z_1CA6CCC9_64EF_4CA9_9C9C_1E572976D134_.wvu.Rows" sId="1"/>
    <undo index="65535" exp="area" ref3D="1" dr="$A$587:$XFD$606" dn="Z_1CA6CCC9_64EF_4CA9_9C9C_1E572976D134_.wvu.Rows" sId="1"/>
    <undo index="65535" exp="area" ref3D="1" dr="$A$499:$XFD$585" dn="Z_1CA6CCC9_64EF_4CA9_9C9C_1E572976D134_.wvu.Rows" sId="1"/>
    <undo index="65535" exp="area" ref3D="1" dr="$A$352:$XFD$497" dn="Z_1CA6CCC9_64EF_4CA9_9C9C_1E572976D134_.wvu.Rows" sId="1"/>
  </rrc>
  <rrc rId="2106" sId="1" ref="A386:XFD386" action="insertRow">
    <undo index="65535" exp="area" ref3D="1" dr="$A$951:$XFD$953" dn="Z_1CA6CCC9_64EF_4CA9_9C9C_1E572976D134_.wvu.Rows" sId="1"/>
    <undo index="65535" exp="area" ref3D="1" dr="$A$946:$XFD$948" dn="Z_1CA6CCC9_64EF_4CA9_9C9C_1E572976D134_.wvu.Rows" sId="1"/>
    <undo index="65535" exp="area" ref3D="1" dr="$A$923:$XFD$943" dn="Z_1CA6CCC9_64EF_4CA9_9C9C_1E572976D134_.wvu.Rows" sId="1"/>
    <undo index="65535" exp="area" ref3D="1" dr="$A$900:$XFD$921" dn="Z_1CA6CCC9_64EF_4CA9_9C9C_1E572976D134_.wvu.Rows" sId="1"/>
    <undo index="65535" exp="area" ref3D="1" dr="$A$894:$XFD$898" dn="Z_1CA6CCC9_64EF_4CA9_9C9C_1E572976D134_.wvu.Rows" sId="1"/>
    <undo index="65535" exp="area" ref3D="1" dr="$A$862:$XFD$891" dn="Z_1CA6CCC9_64EF_4CA9_9C9C_1E572976D134_.wvu.Rows" sId="1"/>
    <undo index="65535" exp="area" ref3D="1" dr="$A$847:$XFD$860" dn="Z_1CA6CCC9_64EF_4CA9_9C9C_1E572976D134_.wvu.Rows" sId="1"/>
    <undo index="65535" exp="area" ref3D="1" dr="$A$843:$XFD$845" dn="Z_1CA6CCC9_64EF_4CA9_9C9C_1E572976D134_.wvu.Rows" sId="1"/>
    <undo index="65535" exp="area" ref3D="1" dr="$A$818:$XFD$839" dn="Z_1CA6CCC9_64EF_4CA9_9C9C_1E572976D134_.wvu.Rows" sId="1"/>
    <undo index="65535" exp="area" ref3D="1" dr="$A$797:$XFD$816" dn="Z_1CA6CCC9_64EF_4CA9_9C9C_1E572976D134_.wvu.Rows" sId="1"/>
    <undo index="65535" exp="area" ref3D="1" dr="$A$745:$XFD$794" dn="Z_1CA6CCC9_64EF_4CA9_9C9C_1E572976D134_.wvu.Rows" sId="1"/>
    <undo index="65535" exp="area" ref3D="1" dr="$A$727:$XFD$743" dn="Z_1CA6CCC9_64EF_4CA9_9C9C_1E572976D134_.wvu.Rows" sId="1"/>
    <undo index="65535" exp="area" ref3D="1" dr="$A$704:$XFD$725" dn="Z_1CA6CCC9_64EF_4CA9_9C9C_1E572976D134_.wvu.Rows" sId="1"/>
    <undo index="65535" exp="area" ref3D="1" dr="$A$639:$XFD$702" dn="Z_1CA6CCC9_64EF_4CA9_9C9C_1E572976D134_.wvu.Rows" sId="1"/>
    <undo index="65535" exp="area" ref3D="1" dr="$A$617:$XFD$637" dn="Z_1CA6CCC9_64EF_4CA9_9C9C_1E572976D134_.wvu.Rows" sId="1"/>
    <undo index="65535" exp="area" ref3D="1" dr="$A$610:$XFD$614" dn="Z_1CA6CCC9_64EF_4CA9_9C9C_1E572976D134_.wvu.Rows" sId="1"/>
    <undo index="65535" exp="area" ref3D="1" dr="$A$588:$XFD$607" dn="Z_1CA6CCC9_64EF_4CA9_9C9C_1E572976D134_.wvu.Rows" sId="1"/>
    <undo index="65535" exp="area" ref3D="1" dr="$A$500:$XFD$586" dn="Z_1CA6CCC9_64EF_4CA9_9C9C_1E572976D134_.wvu.Rows" sId="1"/>
    <undo index="65535" exp="area" ref3D="1" dr="$A$352:$XFD$498" dn="Z_1CA6CCC9_64EF_4CA9_9C9C_1E572976D134_.wvu.Rows" sId="1"/>
  </rrc>
  <rrc rId="2107" sId="1" ref="A386:XFD386" action="insertRow">
    <undo index="65535" exp="area" ref3D="1" dr="$A$952:$XFD$954" dn="Z_1CA6CCC9_64EF_4CA9_9C9C_1E572976D134_.wvu.Rows" sId="1"/>
    <undo index="65535" exp="area" ref3D="1" dr="$A$947:$XFD$949" dn="Z_1CA6CCC9_64EF_4CA9_9C9C_1E572976D134_.wvu.Rows" sId="1"/>
    <undo index="65535" exp="area" ref3D="1" dr="$A$924:$XFD$944" dn="Z_1CA6CCC9_64EF_4CA9_9C9C_1E572976D134_.wvu.Rows" sId="1"/>
    <undo index="65535" exp="area" ref3D="1" dr="$A$901:$XFD$922" dn="Z_1CA6CCC9_64EF_4CA9_9C9C_1E572976D134_.wvu.Rows" sId="1"/>
    <undo index="65535" exp="area" ref3D="1" dr="$A$895:$XFD$899" dn="Z_1CA6CCC9_64EF_4CA9_9C9C_1E572976D134_.wvu.Rows" sId="1"/>
    <undo index="65535" exp="area" ref3D="1" dr="$A$863:$XFD$892" dn="Z_1CA6CCC9_64EF_4CA9_9C9C_1E572976D134_.wvu.Rows" sId="1"/>
    <undo index="65535" exp="area" ref3D="1" dr="$A$848:$XFD$861" dn="Z_1CA6CCC9_64EF_4CA9_9C9C_1E572976D134_.wvu.Rows" sId="1"/>
    <undo index="65535" exp="area" ref3D="1" dr="$A$844:$XFD$846" dn="Z_1CA6CCC9_64EF_4CA9_9C9C_1E572976D134_.wvu.Rows" sId="1"/>
    <undo index="65535" exp="area" ref3D="1" dr="$A$819:$XFD$840" dn="Z_1CA6CCC9_64EF_4CA9_9C9C_1E572976D134_.wvu.Rows" sId="1"/>
    <undo index="65535" exp="area" ref3D="1" dr="$A$798:$XFD$817" dn="Z_1CA6CCC9_64EF_4CA9_9C9C_1E572976D134_.wvu.Rows" sId="1"/>
    <undo index="65535" exp="area" ref3D="1" dr="$A$746:$XFD$795" dn="Z_1CA6CCC9_64EF_4CA9_9C9C_1E572976D134_.wvu.Rows" sId="1"/>
    <undo index="65535" exp="area" ref3D="1" dr="$A$728:$XFD$744" dn="Z_1CA6CCC9_64EF_4CA9_9C9C_1E572976D134_.wvu.Rows" sId="1"/>
    <undo index="65535" exp="area" ref3D="1" dr="$A$705:$XFD$726" dn="Z_1CA6CCC9_64EF_4CA9_9C9C_1E572976D134_.wvu.Rows" sId="1"/>
    <undo index="65535" exp="area" ref3D="1" dr="$A$640:$XFD$703" dn="Z_1CA6CCC9_64EF_4CA9_9C9C_1E572976D134_.wvu.Rows" sId="1"/>
    <undo index="65535" exp="area" ref3D="1" dr="$A$618:$XFD$638" dn="Z_1CA6CCC9_64EF_4CA9_9C9C_1E572976D134_.wvu.Rows" sId="1"/>
    <undo index="65535" exp="area" ref3D="1" dr="$A$611:$XFD$615" dn="Z_1CA6CCC9_64EF_4CA9_9C9C_1E572976D134_.wvu.Rows" sId="1"/>
    <undo index="65535" exp="area" ref3D="1" dr="$A$589:$XFD$608" dn="Z_1CA6CCC9_64EF_4CA9_9C9C_1E572976D134_.wvu.Rows" sId="1"/>
    <undo index="65535" exp="area" ref3D="1" dr="$A$501:$XFD$587" dn="Z_1CA6CCC9_64EF_4CA9_9C9C_1E572976D134_.wvu.Rows" sId="1"/>
    <undo index="65535" exp="area" ref3D="1" dr="$A$352:$XFD$499" dn="Z_1CA6CCC9_64EF_4CA9_9C9C_1E572976D134_.wvu.Rows" sId="1"/>
  </rrc>
  <rcc rId="2108" sId="1" odxf="1" s="1" dxf="1">
    <nc r="A386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30" formatCode="@"/>
      <alignment horizontal="left" vertical="center"/>
    </ndxf>
  </rcc>
  <rcc rId="2109" sId="1" odxf="1" s="1" dxf="1">
    <nc r="A387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left"/>
    </ndxf>
  </rcc>
  <rcc rId="2110" sId="1" odxf="1" s="1" dxf="1">
    <nc r="A388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("Серебрянная миля")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30" formatCode="@"/>
      <alignment horizontal="left" vertical="center"/>
    </ndxf>
  </rcc>
  <rcc rId="2111" sId="1" odxf="1" s="1" dxf="1">
    <nc r="A389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left"/>
    </ndxf>
  </rcc>
  <rcc rId="2112" sId="1">
    <nc r="B386" t="inlineStr">
      <is>
        <t>0502</t>
      </is>
    </nc>
  </rcc>
  <rcc rId="2113" sId="1">
    <nc r="C386" t="inlineStr">
      <is>
        <t>03 2 01 61056</t>
      </is>
    </nc>
  </rcc>
  <rcc rId="2114" sId="1">
    <nc r="B387" t="inlineStr">
      <is>
        <t>0502</t>
      </is>
    </nc>
  </rcc>
  <rcc rId="2115" sId="1">
    <nc r="C387" t="inlineStr">
      <is>
        <t>03 2 01 61056</t>
      </is>
    </nc>
  </rcc>
  <rcc rId="2116" sId="1">
    <nc r="D387" t="inlineStr">
      <is>
        <t>800</t>
      </is>
    </nc>
  </rcc>
  <rcc rId="2117" sId="1">
    <nc r="B388" t="inlineStr">
      <is>
        <t>0502</t>
      </is>
    </nc>
  </rcc>
  <rcc rId="2118" sId="1">
    <nc r="C388" t="inlineStr">
      <is>
        <t>03 2 01 61057</t>
      </is>
    </nc>
  </rcc>
  <rcc rId="2119" sId="1">
    <nc r="B389" t="inlineStr">
      <is>
        <t>0502</t>
      </is>
    </nc>
  </rcc>
  <rcc rId="2120" sId="1">
    <nc r="C389" t="inlineStr">
      <is>
        <t>03 2 01 61057</t>
      </is>
    </nc>
  </rcc>
  <rcc rId="2121" sId="1">
    <nc r="D389" t="inlineStr">
      <is>
        <t>800</t>
      </is>
    </nc>
  </rcc>
  <rcc rId="2122" sId="1" numFmtId="4">
    <nc r="F387">
      <v>230000</v>
    </nc>
  </rcc>
  <rcc rId="2123" sId="1" numFmtId="4">
    <nc r="F389">
      <v>234450</v>
    </nc>
  </rcc>
  <rcc rId="2124" sId="1">
    <nc r="F386">
      <f>+F387</f>
    </nc>
  </rcc>
  <rcc rId="2125" sId="1">
    <nc r="F388">
      <f>+F389</f>
    </nc>
  </rcc>
  <rcc rId="2126" sId="1">
    <nc r="E386">
      <f>+E387</f>
    </nc>
  </rcc>
  <rcc rId="2127" sId="1">
    <nc r="G386">
      <f>+G387</f>
    </nc>
  </rcc>
  <rcc rId="2128" sId="1">
    <nc r="E388">
      <f>+E389</f>
    </nc>
  </rcc>
  <rcc rId="2129" sId="1">
    <nc r="G388">
      <f>+G389</f>
    </nc>
  </rcc>
  <rcc rId="2130" sId="1">
    <oc r="F361">
      <f>F362+F364+F367+F369+F396+F404+F406+F408+F410+F382+F394+F412+F414+F416+F418+F420+F422+F392+F424+F426+F428+F430+F432+F434+F436+F438+F440+F442+F444+F446+F454+F448+F450+F452+F373+F375+F377+F384+F390+F398+F400+F402+F458+F460+F462+F466+F468+F472+F474+F476+F478+F480+F456+F464+F470+F371</f>
    </oc>
    <nc r="F361">
      <f>F362+F364+F367+F369+F396+F404+F406+F408+F410+F382+F394+F412+F414+F416+F418+F420+F422+F392+F424+F426+F428+F430+F432+F434+F436+F438+F440+F442+F444+F446+F454+F448+F450+F452+F373+F375+F377+F384+F390+F398+F400+F402+F458+F460+F462+F466+F468+F472+F474+F476+F478+F480+F456+F464+F470+F371+F379+F386+F388</f>
    </nc>
  </rcc>
  <rcc rId="2131" sId="1" numFmtId="4">
    <nc r="F354">
      <v>0</v>
    </nc>
  </rcc>
  <rcc rId="2132" sId="1" numFmtId="4">
    <nc r="G354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33" sId="1">
    <oc r="F355">
      <f>F360+F485+F356</f>
    </oc>
    <nc r="F355">
      <f>F360+F485+F356</f>
    </nc>
  </rcc>
  <rcc rId="2134" sId="1">
    <oc r="G355">
      <f>G360+G485+G356</f>
    </oc>
    <nc r="G355">
      <f>G360+G485+G356</f>
    </nc>
  </rcc>
  <rrc rId="2135" sId="1" ref="A392:XFD392" action="insertRow">
    <undo index="65535" exp="area" ref3D="1" dr="$A$953:$XFD$955" dn="Z_1CA6CCC9_64EF_4CA9_9C9C_1E572976D134_.wvu.Rows" sId="1"/>
    <undo index="65535" exp="area" ref3D="1" dr="$A$948:$XFD$950" dn="Z_1CA6CCC9_64EF_4CA9_9C9C_1E572976D134_.wvu.Rows" sId="1"/>
    <undo index="65535" exp="area" ref3D="1" dr="$A$925:$XFD$945" dn="Z_1CA6CCC9_64EF_4CA9_9C9C_1E572976D134_.wvu.Rows" sId="1"/>
    <undo index="65535" exp="area" ref3D="1" dr="$A$902:$XFD$923" dn="Z_1CA6CCC9_64EF_4CA9_9C9C_1E572976D134_.wvu.Rows" sId="1"/>
    <undo index="65535" exp="area" ref3D="1" dr="$A$896:$XFD$900" dn="Z_1CA6CCC9_64EF_4CA9_9C9C_1E572976D134_.wvu.Rows" sId="1"/>
    <undo index="65535" exp="area" ref3D="1" dr="$A$864:$XFD$893" dn="Z_1CA6CCC9_64EF_4CA9_9C9C_1E572976D134_.wvu.Rows" sId="1"/>
    <undo index="65535" exp="area" ref3D="1" dr="$A$849:$XFD$862" dn="Z_1CA6CCC9_64EF_4CA9_9C9C_1E572976D134_.wvu.Rows" sId="1"/>
    <undo index="65535" exp="area" ref3D="1" dr="$A$845:$XFD$847" dn="Z_1CA6CCC9_64EF_4CA9_9C9C_1E572976D134_.wvu.Rows" sId="1"/>
    <undo index="65535" exp="area" ref3D="1" dr="$A$820:$XFD$841" dn="Z_1CA6CCC9_64EF_4CA9_9C9C_1E572976D134_.wvu.Rows" sId="1"/>
    <undo index="65535" exp="area" ref3D="1" dr="$A$799:$XFD$818" dn="Z_1CA6CCC9_64EF_4CA9_9C9C_1E572976D134_.wvu.Rows" sId="1"/>
    <undo index="65535" exp="area" ref3D="1" dr="$A$747:$XFD$796" dn="Z_1CA6CCC9_64EF_4CA9_9C9C_1E572976D134_.wvu.Rows" sId="1"/>
    <undo index="65535" exp="area" ref3D="1" dr="$A$729:$XFD$745" dn="Z_1CA6CCC9_64EF_4CA9_9C9C_1E572976D134_.wvu.Rows" sId="1"/>
    <undo index="65535" exp="area" ref3D="1" dr="$A$706:$XFD$727" dn="Z_1CA6CCC9_64EF_4CA9_9C9C_1E572976D134_.wvu.Rows" sId="1"/>
    <undo index="65535" exp="area" ref3D="1" dr="$A$641:$XFD$704" dn="Z_1CA6CCC9_64EF_4CA9_9C9C_1E572976D134_.wvu.Rows" sId="1"/>
    <undo index="65535" exp="area" ref3D="1" dr="$A$619:$XFD$639" dn="Z_1CA6CCC9_64EF_4CA9_9C9C_1E572976D134_.wvu.Rows" sId="1"/>
    <undo index="65535" exp="area" ref3D="1" dr="$A$612:$XFD$616" dn="Z_1CA6CCC9_64EF_4CA9_9C9C_1E572976D134_.wvu.Rows" sId="1"/>
    <undo index="65535" exp="area" ref3D="1" dr="$A$590:$XFD$609" dn="Z_1CA6CCC9_64EF_4CA9_9C9C_1E572976D134_.wvu.Rows" sId="1"/>
    <undo index="65535" exp="area" ref3D="1" dr="$A$502:$XFD$588" dn="Z_1CA6CCC9_64EF_4CA9_9C9C_1E572976D134_.wvu.Rows" sId="1"/>
    <undo index="65535" exp="area" ref3D="1" dr="$A$352:$XFD$500" dn="Z_1CA6CCC9_64EF_4CA9_9C9C_1E572976D134_.wvu.Rows" sId="1"/>
  </rrc>
  <rrc rId="2136" sId="1" ref="A392:XFD392" action="insertRow">
    <undo index="65535" exp="area" ref3D="1" dr="$A$954:$XFD$956" dn="Z_1CA6CCC9_64EF_4CA9_9C9C_1E572976D134_.wvu.Rows" sId="1"/>
    <undo index="65535" exp="area" ref3D="1" dr="$A$949:$XFD$951" dn="Z_1CA6CCC9_64EF_4CA9_9C9C_1E572976D134_.wvu.Rows" sId="1"/>
    <undo index="65535" exp="area" ref3D="1" dr="$A$926:$XFD$946" dn="Z_1CA6CCC9_64EF_4CA9_9C9C_1E572976D134_.wvu.Rows" sId="1"/>
    <undo index="65535" exp="area" ref3D="1" dr="$A$903:$XFD$924" dn="Z_1CA6CCC9_64EF_4CA9_9C9C_1E572976D134_.wvu.Rows" sId="1"/>
    <undo index="65535" exp="area" ref3D="1" dr="$A$897:$XFD$901" dn="Z_1CA6CCC9_64EF_4CA9_9C9C_1E572976D134_.wvu.Rows" sId="1"/>
    <undo index="65535" exp="area" ref3D="1" dr="$A$865:$XFD$894" dn="Z_1CA6CCC9_64EF_4CA9_9C9C_1E572976D134_.wvu.Rows" sId="1"/>
    <undo index="65535" exp="area" ref3D="1" dr="$A$850:$XFD$863" dn="Z_1CA6CCC9_64EF_4CA9_9C9C_1E572976D134_.wvu.Rows" sId="1"/>
    <undo index="65535" exp="area" ref3D="1" dr="$A$846:$XFD$848" dn="Z_1CA6CCC9_64EF_4CA9_9C9C_1E572976D134_.wvu.Rows" sId="1"/>
    <undo index="65535" exp="area" ref3D="1" dr="$A$821:$XFD$842" dn="Z_1CA6CCC9_64EF_4CA9_9C9C_1E572976D134_.wvu.Rows" sId="1"/>
    <undo index="65535" exp="area" ref3D="1" dr="$A$800:$XFD$819" dn="Z_1CA6CCC9_64EF_4CA9_9C9C_1E572976D134_.wvu.Rows" sId="1"/>
    <undo index="65535" exp="area" ref3D="1" dr="$A$748:$XFD$797" dn="Z_1CA6CCC9_64EF_4CA9_9C9C_1E572976D134_.wvu.Rows" sId="1"/>
    <undo index="65535" exp="area" ref3D="1" dr="$A$730:$XFD$746" dn="Z_1CA6CCC9_64EF_4CA9_9C9C_1E572976D134_.wvu.Rows" sId="1"/>
    <undo index="65535" exp="area" ref3D="1" dr="$A$707:$XFD$728" dn="Z_1CA6CCC9_64EF_4CA9_9C9C_1E572976D134_.wvu.Rows" sId="1"/>
    <undo index="65535" exp="area" ref3D="1" dr="$A$642:$XFD$705" dn="Z_1CA6CCC9_64EF_4CA9_9C9C_1E572976D134_.wvu.Rows" sId="1"/>
    <undo index="65535" exp="area" ref3D="1" dr="$A$620:$XFD$640" dn="Z_1CA6CCC9_64EF_4CA9_9C9C_1E572976D134_.wvu.Rows" sId="1"/>
    <undo index="65535" exp="area" ref3D="1" dr="$A$613:$XFD$617" dn="Z_1CA6CCC9_64EF_4CA9_9C9C_1E572976D134_.wvu.Rows" sId="1"/>
    <undo index="65535" exp="area" ref3D="1" dr="$A$591:$XFD$610" dn="Z_1CA6CCC9_64EF_4CA9_9C9C_1E572976D134_.wvu.Rows" sId="1"/>
    <undo index="65535" exp="area" ref3D="1" dr="$A$503:$XFD$589" dn="Z_1CA6CCC9_64EF_4CA9_9C9C_1E572976D134_.wvu.Rows" sId="1"/>
    <undo index="65535" exp="area" ref3D="1" dr="$A$352:$XFD$501" dn="Z_1CA6CCC9_64EF_4CA9_9C9C_1E572976D134_.wvu.Rows" sId="1"/>
  </rrc>
  <rcc rId="2137" sId="1" odxf="1" s="1" dxf="1">
    <nc r="A392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30" formatCode="@"/>
      <alignment horizontal="left" vertical="center"/>
    </ndxf>
  </rcc>
  <rcc rId="2138" sId="1" odxf="1" s="1" dxf="1">
    <nc r="A393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left"/>
    </ndxf>
  </rcc>
  <rcc rId="2139" sId="1">
    <nc r="B392" t="inlineStr">
      <is>
        <t>0502</t>
      </is>
    </nc>
  </rcc>
  <rcc rId="2140" sId="1">
    <nc r="C392" t="inlineStr">
      <is>
        <t>03 2 01 6105Ж</t>
      </is>
    </nc>
  </rcc>
  <rcc rId="2141" sId="1">
    <nc r="B393" t="inlineStr">
      <is>
        <t>0502</t>
      </is>
    </nc>
  </rcc>
  <rcc rId="2142" sId="1">
    <nc r="C393" t="inlineStr">
      <is>
        <t>03 2 01 6105Ж</t>
      </is>
    </nc>
  </rcc>
  <rcc rId="2143" sId="1">
    <nc r="D393" t="inlineStr">
      <is>
        <t>800</t>
      </is>
    </nc>
  </rcc>
  <rcc rId="2144" sId="1" numFmtId="4">
    <nc r="F393">
      <v>234450</v>
    </nc>
  </rcc>
  <rcc rId="2145" sId="1">
    <nc r="F392">
      <f>+F393</f>
    </nc>
  </rcc>
  <rcc rId="2146" sId="1">
    <nc r="E392">
      <f>+E393</f>
    </nc>
  </rcc>
  <rcc rId="2147" sId="1">
    <nc r="G392">
      <f>+G393</f>
    </nc>
  </rcc>
  <rcc rId="2148" sId="1">
    <oc r="F361">
      <f>F362+F364+F367+F369+F398+F406+F408+F410+F412+F382+F396+F414+F416+F418+F420+F422+F424+F394+F426+F428+F430+F432+F434+F436+F438+F440+F442+F444+F446+F448+F456+F450+F452+F454+F373+F375+F377+F384+F390+F400+F402+F404+F460+F462+F464+F468+F470+F474+F476+F478+F480+F482+F458+F466+F472+F371+F379+F386+F388</f>
    </oc>
    <nc r="F361">
      <f>F362+F364+F367+F369+F398+F406+F408+F410+F412+F382+F396+F414+F416+F418+F420+F422+F424+F394+F426+F428+F430+F432+F434+F436+F438+F440+F442+F444+F446+F448+F456+F450+F452+F454+F373+F375+F377+F384+F390+F400+F402+F404+F460+F462+F464+F468+F470+F474+F476+F478+F480+F482+F458+F466+F472+F371+F379+F386+F388+F392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9" sId="1">
    <oc r="F549">
      <v>112766</v>
    </oc>
    <nc r="F549">
      <f>112766-2968.5+2968.5+2968.5+46506.3</f>
    </nc>
  </rcc>
  <rcc rId="2150" sId="1" numFmtId="4">
    <nc r="F539">
      <v>18469.599999999999</v>
    </nc>
  </rcc>
  <rcc rId="2151" sId="1" numFmtId="4">
    <nc r="F916">
      <v>18201.400000000001</v>
    </nc>
  </rcc>
  <rcc rId="2152" sId="1" numFmtId="4">
    <oc r="G137">
      <v>49591.6</v>
    </oc>
    <nc r="G137">
      <f>49591.6+45466.4</f>
    </nc>
  </rcc>
  <rcc rId="2153" sId="1" numFmtId="4">
    <oc r="G139">
      <v>6539.7</v>
    </oc>
    <nc r="G139">
      <f>6539.7+7878.2</f>
    </nc>
  </rcc>
  <rcc rId="2154" sId="1" numFmtId="4">
    <nc r="G170">
      <v>384777.9</v>
    </nc>
  </rcc>
  <rcc rId="2155" sId="1" numFmtId="4">
    <nc r="G387">
      <v>700200</v>
    </nc>
  </rcc>
  <rcc rId="2156" sId="1" numFmtId="4">
    <nc r="G389">
      <v>588600</v>
    </nc>
  </rcc>
  <rcc rId="2157" sId="1" numFmtId="4">
    <nc r="G391">
      <v>588600</v>
    </nc>
  </rcc>
  <rcc rId="2158" sId="1">
    <oc r="G361">
      <f>G362+G364+G367+G369+G398+G406+G408+G410+G412+G382+G396+G414+G416+G418+G420+G422+G424+G394+G426+G428+G430+G432+G434+G436+G438+G440+G442+G444+G446+G448+G456+G450+G452+G454+G373+G375+G377+G384+G390+G400+G402+G404+G460+G462+G464+G468+G470+G474+G476+G478+G480+G482+G458+G466+G472+G371</f>
    </oc>
    <nc r="G361">
      <f>G362+G364+G367+G369+G398+G406+G408+G410+G412+G382+G396+G414+G416+G418+G420+G422+G424+G394+G426+G428+G430+G432+G434+G436+G438+G440+G442+G444+G446+G448+G456+G450+G452+G454+G373+G375+G377+G384+G390+G400+G402+G404+G460+G462+G464+G468+G470+G474+G476+G478+G480+G482+G458+G466+G472+G371+G386+G388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Cols" hidden="1" oldHidden="1">
    <formula>рпр!$E:$F</formula>
  </rdn>
  <rdn rId="0" localSheetId="1" customView="1" name="Z_AA62EF5A_85DE_4BC8_95D5_4F54CE8CF3D6_.wvu.FilterData" hidden="1" oldHidden="1">
    <formula>рпр!$C$1:$C$975</formula>
    <oldFormula>рпр!$C$1:$C$975</oldFormula>
  </rdn>
  <rcv guid="{AA62EF5A-85DE-4BC8-95D5-4F54CE8CF3D6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2" sId="1" numFmtId="4">
    <nc r="F248">
      <v>0</v>
    </nc>
  </rcc>
  <rcc rId="2163" sId="1">
    <nc r="F247">
      <f>+F248</f>
    </nc>
  </rcc>
  <rcc rId="2164" sId="1">
    <nc r="G247">
      <f>+G248</f>
    </nc>
  </rcc>
  <rcc rId="2165" sId="1" numFmtId="4">
    <nc r="G248">
      <v>0</v>
    </nc>
  </rcc>
  <rdn rId="0" localSheetId="1" customView="1" name="Z_AA62EF5A_85DE_4BC8_95D5_4F54CE8CF3D6_.wvu.Cols" hidden="1" oldHidden="1">
    <oldFormula>рпр!$E:$F</oldFormula>
  </rdn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рпр!$B$1:$B$975</formula>
    <oldFormula>рпр!$C$1:$C$975</oldFormula>
  </rdn>
  <rcv guid="{AA62EF5A-85DE-4BC8-95D5-4F54CE8CF3D6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69" sId="1" ref="A257:XFD257" action="deleteRow">
    <undo index="65535" exp="ref" v="1" dr="G257" r="G234" sId="1"/>
    <undo index="65535" exp="ref" v="1" dr="F257" r="F234" sId="1"/>
    <undo index="65535" exp="ref" v="1" dr="E257" r="E234" sId="1"/>
    <undo index="65535" exp="area" ref3D="1" dr="$A$955:$XFD$957" dn="Z_1CA6CCC9_64EF_4CA9_9C9C_1E572976D134_.wvu.Rows" sId="1"/>
    <undo index="65535" exp="area" ref3D="1" dr="$A$950:$XFD$952" dn="Z_1CA6CCC9_64EF_4CA9_9C9C_1E572976D134_.wvu.Rows" sId="1"/>
    <undo index="65535" exp="area" ref3D="1" dr="$A$927:$XFD$947" dn="Z_1CA6CCC9_64EF_4CA9_9C9C_1E572976D134_.wvu.Rows" sId="1"/>
    <undo index="65535" exp="area" ref3D="1" dr="$A$904:$XFD$925" dn="Z_1CA6CCC9_64EF_4CA9_9C9C_1E572976D134_.wvu.Rows" sId="1"/>
    <undo index="65535" exp="area" ref3D="1" dr="$A$898:$XFD$902" dn="Z_1CA6CCC9_64EF_4CA9_9C9C_1E572976D134_.wvu.Rows" sId="1"/>
    <undo index="65535" exp="area" ref3D="1" dr="$A$866:$XFD$895" dn="Z_1CA6CCC9_64EF_4CA9_9C9C_1E572976D134_.wvu.Rows" sId="1"/>
    <undo index="65535" exp="area" ref3D="1" dr="$A$851:$XFD$864" dn="Z_1CA6CCC9_64EF_4CA9_9C9C_1E572976D134_.wvu.Rows" sId="1"/>
    <undo index="65535" exp="area" ref3D="1" dr="$A$847:$XFD$849" dn="Z_1CA6CCC9_64EF_4CA9_9C9C_1E572976D134_.wvu.Rows" sId="1"/>
    <undo index="65535" exp="area" ref3D="1" dr="$A$822:$XFD$843" dn="Z_1CA6CCC9_64EF_4CA9_9C9C_1E572976D134_.wvu.Rows" sId="1"/>
    <undo index="65535" exp="area" ref3D="1" dr="$A$801:$XFD$820" dn="Z_1CA6CCC9_64EF_4CA9_9C9C_1E572976D134_.wvu.Rows" sId="1"/>
    <undo index="65535" exp="area" ref3D="1" dr="$A$749:$XFD$798" dn="Z_1CA6CCC9_64EF_4CA9_9C9C_1E572976D134_.wvu.Rows" sId="1"/>
    <undo index="65535" exp="area" ref3D="1" dr="$A$731:$XFD$747" dn="Z_1CA6CCC9_64EF_4CA9_9C9C_1E572976D134_.wvu.Rows" sId="1"/>
    <undo index="65535" exp="area" ref3D="1" dr="$A$708:$XFD$729" dn="Z_1CA6CCC9_64EF_4CA9_9C9C_1E572976D134_.wvu.Rows" sId="1"/>
    <undo index="65535" exp="area" ref3D="1" dr="$A$643:$XFD$706" dn="Z_1CA6CCC9_64EF_4CA9_9C9C_1E572976D134_.wvu.Rows" sId="1"/>
    <undo index="65535" exp="area" ref3D="1" dr="$A$621:$XFD$641" dn="Z_1CA6CCC9_64EF_4CA9_9C9C_1E572976D134_.wvu.Rows" sId="1"/>
    <undo index="65535" exp="area" ref3D="1" dr="$A$614:$XFD$618" dn="Z_1CA6CCC9_64EF_4CA9_9C9C_1E572976D134_.wvu.Rows" sId="1"/>
    <undo index="65535" exp="area" ref3D="1" dr="$A$592:$XFD$611" dn="Z_1CA6CCC9_64EF_4CA9_9C9C_1E572976D134_.wvu.Rows" sId="1"/>
    <undo index="65535" exp="area" ref3D="1" dr="$A$504:$XFD$590" dn="Z_1CA6CCC9_64EF_4CA9_9C9C_1E572976D134_.wvu.Rows" sId="1"/>
    <undo index="65535" exp="area" ref3D="1" dr="$A$352:$XFD$502" dn="Z_1CA6CCC9_64EF_4CA9_9C9C_1E572976D134_.wvu.Rows" sId="1"/>
    <undo index="65535" exp="area" ref3D="1" dr="$A$313:$XFD$350" dn="Z_1CA6CCC9_64EF_4CA9_9C9C_1E572976D134_.wvu.Rows" sId="1"/>
    <undo index="65535" exp="area" ref3D="1" dr="$A$286:$XFD$310" dn="Z_1CA6CCC9_64EF_4CA9_9C9C_1E572976D134_.wvu.Rows" sId="1"/>
    <undo index="65535" exp="area" ref3D="1" dr="$A$172:$XFD$284" dn="Z_1CA6CCC9_64EF_4CA9_9C9C_1E572976D134_.wvu.Rows" sId="1"/>
    <rfmt sheetId="1" xfDxf="1" sqref="A257:XFD25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57" t="inlineStr">
        <is>
      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9" tint="0.79998168889431442"/>
          </patternFill>
        </fill>
        <alignment horizontal="general" wrapText="1"/>
      </ndxf>
    </rcc>
    <rcc rId="0" sId="1" s="1" dxf="1">
      <nc r="B257" t="inlineStr">
        <is>
          <t>0409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257" t="inlineStr">
        <is>
          <t>02 2 01 SД140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257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257">
        <f>+E258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57">
        <f>+F258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257">
        <f>+G258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170" sId="1" ref="A257:XFD257" action="deleteRow">
    <undo index="65535" exp="area" ref3D="1" dr="$A$954:$XFD$956" dn="Z_1CA6CCC9_64EF_4CA9_9C9C_1E572976D134_.wvu.Rows" sId="1"/>
    <undo index="65535" exp="area" ref3D="1" dr="$A$949:$XFD$951" dn="Z_1CA6CCC9_64EF_4CA9_9C9C_1E572976D134_.wvu.Rows" sId="1"/>
    <undo index="65535" exp="area" ref3D="1" dr="$A$926:$XFD$946" dn="Z_1CA6CCC9_64EF_4CA9_9C9C_1E572976D134_.wvu.Rows" sId="1"/>
    <undo index="65535" exp="area" ref3D="1" dr="$A$903:$XFD$924" dn="Z_1CA6CCC9_64EF_4CA9_9C9C_1E572976D134_.wvu.Rows" sId="1"/>
    <undo index="65535" exp="area" ref3D="1" dr="$A$897:$XFD$901" dn="Z_1CA6CCC9_64EF_4CA9_9C9C_1E572976D134_.wvu.Rows" sId="1"/>
    <undo index="65535" exp="area" ref3D="1" dr="$A$865:$XFD$894" dn="Z_1CA6CCC9_64EF_4CA9_9C9C_1E572976D134_.wvu.Rows" sId="1"/>
    <undo index="65535" exp="area" ref3D="1" dr="$A$850:$XFD$863" dn="Z_1CA6CCC9_64EF_4CA9_9C9C_1E572976D134_.wvu.Rows" sId="1"/>
    <undo index="65535" exp="area" ref3D="1" dr="$A$846:$XFD$848" dn="Z_1CA6CCC9_64EF_4CA9_9C9C_1E572976D134_.wvu.Rows" sId="1"/>
    <undo index="65535" exp="area" ref3D="1" dr="$A$821:$XFD$842" dn="Z_1CA6CCC9_64EF_4CA9_9C9C_1E572976D134_.wvu.Rows" sId="1"/>
    <undo index="65535" exp="area" ref3D="1" dr="$A$800:$XFD$819" dn="Z_1CA6CCC9_64EF_4CA9_9C9C_1E572976D134_.wvu.Rows" sId="1"/>
    <undo index="65535" exp="area" ref3D="1" dr="$A$748:$XFD$797" dn="Z_1CA6CCC9_64EF_4CA9_9C9C_1E572976D134_.wvu.Rows" sId="1"/>
    <undo index="65535" exp="area" ref3D="1" dr="$A$730:$XFD$746" dn="Z_1CA6CCC9_64EF_4CA9_9C9C_1E572976D134_.wvu.Rows" sId="1"/>
    <undo index="65535" exp="area" ref3D="1" dr="$A$707:$XFD$728" dn="Z_1CA6CCC9_64EF_4CA9_9C9C_1E572976D134_.wvu.Rows" sId="1"/>
    <undo index="65535" exp="area" ref3D="1" dr="$A$642:$XFD$705" dn="Z_1CA6CCC9_64EF_4CA9_9C9C_1E572976D134_.wvu.Rows" sId="1"/>
    <undo index="65535" exp="area" ref3D="1" dr="$A$620:$XFD$640" dn="Z_1CA6CCC9_64EF_4CA9_9C9C_1E572976D134_.wvu.Rows" sId="1"/>
    <undo index="65535" exp="area" ref3D="1" dr="$A$613:$XFD$617" dn="Z_1CA6CCC9_64EF_4CA9_9C9C_1E572976D134_.wvu.Rows" sId="1"/>
    <undo index="65535" exp="area" ref3D="1" dr="$A$591:$XFD$610" dn="Z_1CA6CCC9_64EF_4CA9_9C9C_1E572976D134_.wvu.Rows" sId="1"/>
    <undo index="65535" exp="area" ref3D="1" dr="$A$503:$XFD$589" dn="Z_1CA6CCC9_64EF_4CA9_9C9C_1E572976D134_.wvu.Rows" sId="1"/>
    <undo index="65535" exp="area" ref3D="1" dr="$A$351:$XFD$501" dn="Z_1CA6CCC9_64EF_4CA9_9C9C_1E572976D134_.wvu.Rows" sId="1"/>
    <undo index="65535" exp="area" ref3D="1" dr="$A$312:$XFD$349" dn="Z_1CA6CCC9_64EF_4CA9_9C9C_1E572976D134_.wvu.Rows" sId="1"/>
    <undo index="65535" exp="area" ref3D="1" dr="$A$285:$XFD$309" dn="Z_1CA6CCC9_64EF_4CA9_9C9C_1E572976D134_.wvu.Rows" sId="1"/>
    <undo index="65535" exp="area" ref3D="1" dr="$A$172:$XFD$283" dn="Z_1CA6CCC9_64EF_4CA9_9C9C_1E572976D134_.wvu.Rows" sId="1"/>
    <rfmt sheetId="1" xfDxf="1" sqref="A257:XFD25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5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wrapText="1"/>
      </ndxf>
    </rcc>
    <rcc rId="0" sId="1" s="1" dxf="1">
      <nc r="B257" t="inlineStr">
        <is>
          <t>0409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257" t="inlineStr">
        <is>
          <t>02 2 01 SД140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257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257">
        <f>65840.5-61890.1-3950.4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57">
        <f>5904.3-354.3-5550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25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A1:XFD1 A171:XFD282 A974:XFD1048576" start="0" length="2147483647">
    <dxf>
      <font>
        <color auto="1"/>
      </font>
    </dxf>
  </rfmt>
  <rcc rId="2171" sId="1">
    <oc r="E234">
      <f>E235+E237+E257+E259+E262+E269+E249+E239+E254+E251+E241+#REF!+E245+E264+E247+E267</f>
    </oc>
    <nc r="E234">
      <f>E235+E237+E257+E259+E262+E269+E249+E239+E254+E251+E241+E245+E264+E247+E267</f>
    </nc>
  </rcc>
  <rcc rId="2172" sId="1">
    <oc r="G234">
      <f>G235+G237+G257+G259+G262+G269+G249+G239+G254+G251+G241+#REF!+G245+G264+G247+G267</f>
    </oc>
    <nc r="G234">
      <f>G235+G237+G257+G259+G262+G269+G249+G239+G254+G251+G241+G245+G264+G247+G267</f>
    </nc>
  </rcc>
  <rfmt sheetId="1" sqref="A219" start="0" length="0">
    <dxf>
      <numFmt numFmtId="1" formatCode="0"/>
    </dxf>
  </rfmt>
  <rfmt sheetId="1" sqref="A220" start="0" length="0">
    <dxf>
      <numFmt numFmtId="1" formatCode="0"/>
    </dxf>
  </rfmt>
  <rfmt sheetId="1" s="1" sqref="A223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24" start="0" length="0">
    <dxf>
      <fill>
        <patternFill patternType="none">
          <bgColor indexed="65"/>
        </patternFill>
      </fill>
    </dxf>
  </rfmt>
  <rfmt sheetId="1" s="1" sqref="A225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26" start="0" length="0">
    <dxf>
      <fill>
        <patternFill patternType="none">
          <bgColor indexed="65"/>
        </patternFill>
      </fill>
    </dxf>
  </rfmt>
  <rfmt sheetId="1" s="1" sqref="A227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28" start="0" length="0">
    <dxf>
      <fill>
        <patternFill patternType="none">
          <bgColor indexed="65"/>
        </patternFill>
      </fill>
    </dxf>
  </rfmt>
  <rfmt sheetId="1" s="1" sqref="A229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30" start="0" length="0">
    <dxf>
      <fill>
        <patternFill patternType="none">
          <bgColor indexed="65"/>
        </patternFill>
      </fill>
    </dxf>
  </rfmt>
  <rfmt sheetId="1" s="1" sqref="A231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32" start="0" length="0">
    <dxf>
      <fill>
        <patternFill patternType="none">
          <bgColor indexed="65"/>
        </patternFill>
      </fill>
    </dxf>
  </rfmt>
  <rfmt sheetId="1" s="1" sqref="C223" start="0" length="0">
    <dxf>
      <alignment wrapText="0"/>
    </dxf>
  </rfmt>
  <rfmt sheetId="1" s="1" sqref="C224" start="0" length="0">
    <dxf>
      <alignment wrapText="0"/>
    </dxf>
  </rfmt>
  <rfmt sheetId="1" s="1" sqref="C225" start="0" length="0">
    <dxf>
      <alignment wrapText="0"/>
    </dxf>
  </rfmt>
  <rfmt sheetId="1" s="1" sqref="C226" start="0" length="0">
    <dxf>
      <alignment wrapText="0"/>
    </dxf>
  </rfmt>
  <rfmt sheetId="1" s="1" sqref="C227" start="0" length="0">
    <dxf>
      <alignment wrapText="0"/>
    </dxf>
  </rfmt>
  <rfmt sheetId="1" s="1" sqref="C228" start="0" length="0">
    <dxf>
      <alignment wrapText="0"/>
    </dxf>
  </rfmt>
  <rfmt sheetId="1" s="1" sqref="C229" start="0" length="0">
    <dxf>
      <alignment wrapText="0"/>
    </dxf>
  </rfmt>
  <rfmt sheetId="1" s="1" sqref="C230" start="0" length="0">
    <dxf>
      <alignment wrapText="0"/>
    </dxf>
  </rfmt>
  <rfmt sheetId="1" s="1" sqref="C231" start="0" length="0">
    <dxf>
      <alignment wrapText="0"/>
    </dxf>
  </rfmt>
  <rfmt sheetId="1" s="1" sqref="C232" start="0" length="0">
    <dxf>
      <alignment wrapText="0"/>
    </dxf>
  </rfmt>
  <rfmt sheetId="1" sqref="B223" start="0" length="0">
    <dxf>
      <fill>
        <patternFill patternType="none">
          <bgColor indexed="65"/>
        </patternFill>
      </fill>
    </dxf>
  </rfmt>
  <rfmt sheetId="1" sqref="C223" start="0" length="0">
    <dxf>
      <fill>
        <patternFill patternType="none">
          <bgColor indexed="65"/>
        </patternFill>
      </fill>
    </dxf>
  </rfmt>
  <rfmt sheetId="1" sqref="D223" start="0" length="0">
    <dxf>
      <fill>
        <patternFill patternType="none">
          <bgColor indexed="65"/>
        </patternFill>
      </fill>
    </dxf>
  </rfmt>
  <rfmt sheetId="1" sqref="B224" start="0" length="0">
    <dxf>
      <fill>
        <patternFill patternType="none">
          <bgColor indexed="65"/>
        </patternFill>
      </fill>
    </dxf>
  </rfmt>
  <rfmt sheetId="1" sqref="C224" start="0" length="0">
    <dxf>
      <fill>
        <patternFill patternType="none">
          <bgColor indexed="65"/>
        </patternFill>
      </fill>
    </dxf>
  </rfmt>
  <rfmt sheetId="1" sqref="D224" start="0" length="0">
    <dxf>
      <fill>
        <patternFill patternType="none">
          <bgColor indexed="65"/>
        </patternFill>
      </fill>
    </dxf>
  </rfmt>
  <rfmt sheetId="1" sqref="B225" start="0" length="0">
    <dxf>
      <fill>
        <patternFill patternType="none">
          <bgColor indexed="65"/>
        </patternFill>
      </fill>
    </dxf>
  </rfmt>
  <rfmt sheetId="1" sqref="C225" start="0" length="0">
    <dxf>
      <fill>
        <patternFill patternType="none">
          <bgColor indexed="65"/>
        </patternFill>
      </fill>
    </dxf>
  </rfmt>
  <rfmt sheetId="1" sqref="D225" start="0" length="0">
    <dxf>
      <fill>
        <patternFill patternType="none">
          <bgColor indexed="65"/>
        </patternFill>
      </fill>
    </dxf>
  </rfmt>
  <rfmt sheetId="1" sqref="B226" start="0" length="0">
    <dxf>
      <fill>
        <patternFill patternType="none">
          <bgColor indexed="65"/>
        </patternFill>
      </fill>
    </dxf>
  </rfmt>
  <rfmt sheetId="1" sqref="C226" start="0" length="0">
    <dxf>
      <fill>
        <patternFill patternType="none">
          <bgColor indexed="65"/>
        </patternFill>
      </fill>
    </dxf>
  </rfmt>
  <rfmt sheetId="1" sqref="D226" start="0" length="0">
    <dxf>
      <fill>
        <patternFill patternType="none">
          <bgColor indexed="65"/>
        </patternFill>
      </fill>
    </dxf>
  </rfmt>
  <rfmt sheetId="1" sqref="B227" start="0" length="0">
    <dxf>
      <fill>
        <patternFill patternType="none">
          <bgColor indexed="65"/>
        </patternFill>
      </fill>
    </dxf>
  </rfmt>
  <rfmt sheetId="1" sqref="C227" start="0" length="0">
    <dxf>
      <fill>
        <patternFill patternType="none">
          <bgColor indexed="65"/>
        </patternFill>
      </fill>
    </dxf>
  </rfmt>
  <rfmt sheetId="1" sqref="D227" start="0" length="0">
    <dxf>
      <fill>
        <patternFill patternType="none">
          <bgColor indexed="65"/>
        </patternFill>
      </fill>
    </dxf>
  </rfmt>
  <rfmt sheetId="1" sqref="B228" start="0" length="0">
    <dxf>
      <fill>
        <patternFill patternType="none">
          <bgColor indexed="65"/>
        </patternFill>
      </fill>
    </dxf>
  </rfmt>
  <rfmt sheetId="1" sqref="C228" start="0" length="0">
    <dxf>
      <fill>
        <patternFill patternType="none">
          <bgColor indexed="65"/>
        </patternFill>
      </fill>
    </dxf>
  </rfmt>
  <rfmt sheetId="1" sqref="D228" start="0" length="0">
    <dxf>
      <fill>
        <patternFill patternType="none">
          <bgColor indexed="65"/>
        </patternFill>
      </fill>
    </dxf>
  </rfmt>
  <rfmt sheetId="1" sqref="B229" start="0" length="0">
    <dxf>
      <fill>
        <patternFill patternType="none">
          <bgColor indexed="65"/>
        </patternFill>
      </fill>
    </dxf>
  </rfmt>
  <rfmt sheetId="1" sqref="C229" start="0" length="0">
    <dxf>
      <fill>
        <patternFill patternType="none">
          <bgColor indexed="65"/>
        </patternFill>
      </fill>
    </dxf>
  </rfmt>
  <rfmt sheetId="1" sqref="D229" start="0" length="0">
    <dxf>
      <fill>
        <patternFill patternType="none">
          <bgColor indexed="65"/>
        </patternFill>
      </fill>
    </dxf>
  </rfmt>
  <rfmt sheetId="1" sqref="B230" start="0" length="0">
    <dxf>
      <fill>
        <patternFill patternType="none">
          <bgColor indexed="65"/>
        </patternFill>
      </fill>
    </dxf>
  </rfmt>
  <rfmt sheetId="1" sqref="C230" start="0" length="0">
    <dxf>
      <fill>
        <patternFill patternType="none">
          <bgColor indexed="65"/>
        </patternFill>
      </fill>
    </dxf>
  </rfmt>
  <rfmt sheetId="1" sqref="D230" start="0" length="0">
    <dxf>
      <fill>
        <patternFill patternType="none">
          <bgColor indexed="65"/>
        </patternFill>
      </fill>
    </dxf>
  </rfmt>
  <rfmt sheetId="1" sqref="B231" start="0" length="0">
    <dxf>
      <fill>
        <patternFill patternType="none">
          <bgColor indexed="65"/>
        </patternFill>
      </fill>
    </dxf>
  </rfmt>
  <rfmt sheetId="1" sqref="C231" start="0" length="0">
    <dxf>
      <fill>
        <patternFill patternType="none">
          <bgColor indexed="65"/>
        </patternFill>
      </fill>
    </dxf>
  </rfmt>
  <rfmt sheetId="1" sqref="D231" start="0" length="0">
    <dxf>
      <fill>
        <patternFill patternType="none">
          <bgColor indexed="65"/>
        </patternFill>
      </fill>
    </dxf>
  </rfmt>
  <rfmt sheetId="1" sqref="B232" start="0" length="0">
    <dxf>
      <fill>
        <patternFill patternType="none">
          <bgColor indexed="65"/>
        </patternFill>
      </fill>
    </dxf>
  </rfmt>
  <rfmt sheetId="1" sqref="C232" start="0" length="0">
    <dxf>
      <fill>
        <patternFill patternType="none">
          <bgColor indexed="65"/>
        </patternFill>
      </fill>
    </dxf>
  </rfmt>
  <rfmt sheetId="1" sqref="D232" start="0" length="0">
    <dxf>
      <fill>
        <patternFill patternType="none">
          <bgColor indexed="65"/>
        </patternFill>
      </fill>
    </dxf>
  </rfmt>
  <rcc rId="2173" sId="1" numFmtId="4">
    <nc r="E226">
      <v>0</v>
    </nc>
  </rcc>
  <rcc rId="2174" sId="1" numFmtId="4">
    <nc r="G226">
      <v>0</v>
    </nc>
  </rcc>
  <rcc rId="2175" sId="1" numFmtId="4">
    <nc r="E228">
      <v>0</v>
    </nc>
  </rcc>
  <rcc rId="2176" sId="1" numFmtId="4">
    <nc r="G228">
      <v>0</v>
    </nc>
  </rcc>
  <rcc rId="2177" sId="1" numFmtId="4">
    <nc r="E230">
      <v>0</v>
    </nc>
  </rcc>
  <rcc rId="2178" sId="1" numFmtId="4">
    <nc r="G230">
      <v>0</v>
    </nc>
  </rcc>
  <rcc rId="2179" sId="1" numFmtId="4">
    <nc r="E220">
      <v>0</v>
    </nc>
  </rcc>
  <rcc rId="2180" sId="1" numFmtId="4">
    <nc r="G220">
      <v>0</v>
    </nc>
  </rcc>
  <rcc rId="2181" sId="1" numFmtId="4">
    <nc r="E232">
      <v>0</v>
    </nc>
  </rcc>
  <rcc rId="2182" sId="1" numFmtId="4">
    <nc r="G232">
      <v>0</v>
    </nc>
  </rcc>
  <rcc rId="2183" sId="1" odxf="1" dxf="1">
    <oc r="E12">
      <f>E13</f>
    </oc>
    <nc r="E12">
      <f>E13</f>
    </nc>
    <ndxf>
      <fill>
        <patternFill patternType="none">
          <bgColor indexed="65"/>
        </patternFill>
      </fill>
    </ndxf>
  </rcc>
  <rcc rId="2184" sId="1">
    <oc r="E13">
      <f>E14</f>
    </oc>
    <nc r="E13">
      <f>E14</f>
    </nc>
  </rcc>
  <rcc rId="2185" sId="1" odxf="1" s="1" dxf="1">
    <oc r="E16">
      <f>E17</f>
    </oc>
    <nc r="E16">
      <f>E17</f>
    </nc>
    <ndxf>
      <fill>
        <patternFill patternType="none">
          <bgColor indexed="65"/>
        </patternFill>
      </fill>
    </ndxf>
  </rcc>
  <rcc rId="2186" sId="1">
    <oc r="E17">
      <f>E18+E20+E22+E24+E27</f>
    </oc>
    <nc r="E17">
      <f>E18+E20+E22+E24+E27</f>
    </nc>
  </rcc>
  <rcc rId="2187" sId="1" odxf="1" s="1" dxf="1">
    <oc r="E18">
      <f>E19</f>
    </oc>
    <nc r="E18">
      <f>E19</f>
    </nc>
    <ndxf/>
  </rcc>
  <rcc rId="2188" sId="1">
    <oc r="E19">
      <f>4059.1-0.1</f>
    </oc>
    <nc r="E19">
      <f>4059.1-0.1</f>
    </nc>
  </rcc>
  <rcc rId="2189" sId="1" odxf="1" s="1" dxf="1">
    <oc r="E20">
      <f>E21</f>
    </oc>
    <nc r="E20">
      <f>E21</f>
    </nc>
    <ndxf/>
  </rcc>
  <rcc rId="2190" sId="1" odxf="1" s="1" dxf="1">
    <oc r="E22">
      <f>E23</f>
    </oc>
    <nc r="E22">
      <f>E23</f>
    </nc>
    <ndxf/>
  </rcc>
  <rcc rId="2191" sId="1" odxf="1" s="1" dxf="1">
    <oc r="E24">
      <f>E25+E26</f>
    </oc>
    <nc r="E24">
      <f>E25+E26</f>
    </nc>
    <ndxf/>
  </rcc>
  <rfmt sheetId="1" s="1" sqref="E26" start="0" length="0">
    <dxf/>
  </rfmt>
  <rcc rId="2192" sId="1">
    <oc r="E27">
      <f>E28</f>
    </oc>
    <nc r="E27">
      <f>E28</f>
    </nc>
  </rcc>
  <rcc rId="2193" sId="1" odxf="1" s="1" dxf="1">
    <oc r="E28">
      <f>11663.3-219.8</f>
    </oc>
    <nc r="E28">
      <f>11663.3-219.8</f>
    </nc>
    <ndxf/>
  </rcc>
  <rcc rId="2194" sId="1">
    <oc r="E29">
      <f>E30</f>
    </oc>
    <nc r="E29">
      <f>E30</f>
    </nc>
  </rcc>
  <rcc rId="2195" sId="1" odxf="1" s="1" dxf="1">
    <oc r="E30">
      <f>E31+E36</f>
    </oc>
    <nc r="E30">
      <f>E31+E36</f>
    </nc>
    <ndxf/>
  </rcc>
  <rcc rId="2196" sId="1">
    <oc r="E31">
      <f>E32+E33+E34+E35</f>
    </oc>
    <nc r="E31">
      <f>E32+E33+E34+E35</f>
    </nc>
  </rcc>
  <rcc rId="2197" sId="1" odxf="1" s="1" dxf="1">
    <oc r="E32">
      <f>376021.1+79.2+16603.9</f>
    </oc>
    <nc r="E32">
      <f>376021.1+79.2+16603.9</f>
    </nc>
    <ndxf>
      <font>
        <sz val="12"/>
        <color auto="1"/>
        <name val="Times New Roman"/>
        <family val="1"/>
        <scheme val="none"/>
      </font>
    </ndxf>
  </rcc>
  <rcc rId="2198" sId="1" odxf="1" dxf="1">
    <oc r="E33">
      <f>49803.4+106.6+15313+866</f>
    </oc>
    <nc r="E33">
      <f>49803.4+106.6+15313+866</f>
    </nc>
    <ndxf>
      <font>
        <sz val="12"/>
        <color theme="1"/>
        <name val="Times New Roman"/>
        <family val="1"/>
      </font>
    </ndxf>
  </rcc>
  <rcc rId="2199" sId="1" odxf="1" s="1" dxf="1">
    <oc r="E34">
      <f>1000+1092.9+559.3+797.1</f>
    </oc>
    <nc r="E34">
      <f>1000+1092.9+559.3+797.1</f>
    </nc>
    <ndxf>
      <font>
        <sz val="12"/>
        <color auto="1"/>
        <name val="Times New Roman"/>
        <family val="1"/>
        <scheme val="none"/>
      </font>
    </ndxf>
  </rcc>
  <rcc rId="2200" sId="1" odxf="1" s="1" dxf="1">
    <oc r="E36">
      <f>E37+E39+E41+E44</f>
    </oc>
    <nc r="E36">
      <f>E37+E39+E41+E44</f>
    </nc>
    <ndxf/>
  </rcc>
  <rcc rId="2201" sId="1">
    <oc r="E37">
      <f>E38</f>
    </oc>
    <nc r="E37">
      <f>E38</f>
    </nc>
  </rcc>
  <rfmt sheetId="1" s="1" sqref="E38" start="0" length="0">
    <dxf/>
  </rfmt>
  <rcc rId="2202" sId="1">
    <oc r="E39">
      <f>E40</f>
    </oc>
    <nc r="E39">
      <f>E40</f>
    </nc>
  </rcc>
  <rfmt sheetId="1" s="1" sqref="E40" start="0" length="0">
    <dxf/>
  </rfmt>
  <rcc rId="2203" sId="1">
    <oc r="E41">
      <f>E42+E43</f>
    </oc>
    <nc r="E41">
      <f>E42+E43</f>
    </nc>
  </rcc>
  <rfmt sheetId="1" s="1" sqref="E42" start="0" length="0">
    <dxf/>
  </rfmt>
  <rcc rId="2204" sId="1" odxf="1" s="1" dxf="1">
    <oc r="E44">
      <f>E45+E46</f>
    </oc>
    <nc r="E44">
      <f>E45+E46</f>
    </nc>
    <ndxf/>
  </rcc>
  <rfmt sheetId="1" s="1" sqref="E46" start="0" length="0">
    <dxf/>
  </rfmt>
  <rcc rId="2205" sId="1" odxf="1" dxf="1">
    <oc r="E47">
      <f>E48</f>
    </oc>
    <nc r="E47">
      <f>E48</f>
    </nc>
    <ndxf>
      <fill>
        <patternFill patternType="none">
          <bgColor indexed="65"/>
        </patternFill>
      </fill>
    </ndxf>
  </rcc>
  <rcc rId="2206" sId="1" odxf="1" s="1" dxf="1">
    <oc r="E48">
      <f>E49</f>
    </oc>
    <nc r="E48">
      <f>E49</f>
    </nc>
    <ndxf/>
  </rcc>
  <rcc rId="2207" sId="1">
    <oc r="E49">
      <f>E50</f>
    </oc>
    <nc r="E49">
      <f>E50</f>
    </nc>
  </rcc>
  <rcc rId="2208" sId="1" odxf="1" s="1" dxf="1">
    <oc r="E50">
      <f>E51+E52</f>
    </oc>
    <nc r="E50">
      <f>E51+E52</f>
    </nc>
    <ndxf/>
  </rcc>
  <rfmt sheetId="1" s="1" sqref="E51" start="0" length="0">
    <dxf/>
  </rfmt>
  <rcc rId="2209" sId="1" odxf="1" s="1" dxf="1">
    <oc r="E53">
      <f>E54</f>
    </oc>
    <nc r="E53">
      <f>E54</f>
    </nc>
    <ndxf>
      <fill>
        <patternFill patternType="none">
          <bgColor indexed="65"/>
        </patternFill>
      </fill>
    </ndxf>
  </rcc>
  <rcc rId="2210" sId="1">
    <oc r="E54">
      <f>E55</f>
    </oc>
    <nc r="E54">
      <f>E55</f>
    </nc>
  </rcc>
  <rcc rId="2211" sId="1" odxf="1" s="1" dxf="1">
    <oc r="E55">
      <f>E56+E57+E58</f>
    </oc>
    <nc r="E55">
      <f>E56+E57+E58</f>
    </nc>
    <ndxf/>
  </rcc>
  <rcc rId="2212" sId="1">
    <oc r="E56">
      <f>93374.5+1843.8+310</f>
    </oc>
    <nc r="E56">
      <f>93374.5+1843.8+310</f>
    </nc>
  </rcc>
  <rfmt sheetId="1" s="1" sqref="E57" start="0" length="0">
    <dxf/>
  </rfmt>
  <rfmt sheetId="1" s="1" sqref="E58" start="0" length="0">
    <dxf/>
  </rfmt>
  <rcc rId="2213" sId="1" odxf="1" s="1" dxf="1">
    <oc r="E59">
      <f>E60</f>
    </oc>
    <nc r="E59">
      <f>E60</f>
    </nc>
    <ndxf>
      <fill>
        <patternFill patternType="none">
          <bgColor indexed="65"/>
        </patternFill>
      </fill>
    </ndxf>
  </rcc>
  <rcc rId="2214" sId="1">
    <oc r="E60">
      <f>E61</f>
    </oc>
    <nc r="E60">
      <f>E61</f>
    </nc>
  </rcc>
  <rcc rId="2215" sId="1" odxf="1" s="1" dxf="1">
    <oc r="E61">
      <f>E62</f>
    </oc>
    <nc r="E61">
      <f>E62</f>
    </nc>
    <ndxf/>
  </rcc>
  <rcc rId="2216" sId="1">
    <oc r="E62">
      <f>189714.2-34926.3-1535-8800.3-21627.2-6528.9-5227.9-306.4-5894-9649-5267.3-1937-1020.9-775.3-3960.3-6998.8-1442.1-1200-15104.3+28698.7</f>
    </oc>
    <nc r="E62">
      <f>189714.2-34926.3-1535-8800.3-21627.2-6528.9-5227.9-306.4-5894-9649-5267.3-1937-1020.9-775.3-3960.3-6998.8-1442.1-1200-15104.3+28698.7</f>
    </nc>
  </rcc>
  <rcc rId="2217" sId="1" odxf="1" s="1" dxf="1">
    <oc r="E63">
      <f>E64</f>
    </oc>
    <nc r="E63">
      <f>E64</f>
    </nc>
    <ndxf>
      <fill>
        <patternFill patternType="none">
          <bgColor indexed="65"/>
        </patternFill>
      </fill>
    </ndxf>
  </rcc>
  <rcc rId="2218" sId="1">
    <oc r="E64">
      <f>E65</f>
    </oc>
    <nc r="E64">
      <f>E65</f>
    </nc>
  </rcc>
  <rcc rId="2219" sId="1" odxf="1" s="1" dxf="1">
    <oc r="E65">
      <f>E66</f>
    </oc>
    <nc r="E65">
      <f>E66</f>
    </nc>
    <ndxf/>
  </rcc>
  <rcc rId="2220" sId="1">
    <oc r="E66">
      <f>E67</f>
    </oc>
    <nc r="E66">
      <f>E67</f>
    </nc>
  </rcc>
  <rcc rId="2221" sId="1" odxf="1" s="1" dxf="1">
    <oc r="E67">
      <f>E68</f>
    </oc>
    <nc r="E67">
      <f>E68</f>
    </nc>
    <ndxf/>
  </rcc>
  <rcc rId="2222" sId="1" odxf="1" s="1" dxf="1">
    <oc r="E69">
      <f>E70+E108+E119</f>
    </oc>
    <nc r="E69">
      <f>E70+E108+E119</f>
    </nc>
    <ndxf>
      <fill>
        <patternFill patternType="none">
          <bgColor indexed="65"/>
        </patternFill>
      </fill>
    </ndxf>
  </rcc>
  <rcc rId="2223" sId="1">
    <oc r="E70">
      <f>E71+E73+E78+E82+E90+E92+E85+E88+E104+E94+E96+E98+E100+E102+E106+E80</f>
    </oc>
    <nc r="E70">
      <f>E71+E73+E78+E82+E90+E92+E85+E88+E104+E94+E96+E98+E100+E102+E106+E80</f>
    </nc>
  </rcc>
  <rcc rId="2224" sId="1" odxf="1" s="1" dxf="1">
    <oc r="E71">
      <f>E72</f>
    </oc>
    <nc r="E71">
      <f>E72</f>
    </nc>
    <ndxf/>
  </rcc>
  <rcc rId="2225" sId="1" odxf="1" s="1" dxf="1">
    <oc r="E73">
      <f>SUM(E74:E77)</f>
    </oc>
    <nc r="E73">
      <f>SUM(E74:E77)</f>
    </nc>
    <ndxf/>
  </rcc>
  <rcc rId="2226" sId="1" odxf="1">
    <oc r="E74">
      <f>175612.9+1779.4</f>
    </oc>
    <nc r="E74">
      <f>175612.9+1779.4</f>
    </nc>
  </rcc>
  <rcc rId="2227" sId="1" odxf="1" s="1" dxf="1">
    <oc r="E75">
      <f>97972.2-31070.9</f>
    </oc>
    <nc r="E75">
      <f>97972.2-31070.9</f>
    </nc>
    <ndxf/>
  </rcc>
  <rfmt sheetId="1" s="1" sqref="E77" start="0" length="0">
    <dxf/>
  </rfmt>
  <rcc rId="2228" sId="1" odxf="1">
    <oc r="E78">
      <f>E79</f>
    </oc>
    <nc r="E78">
      <f>E79</f>
    </nc>
  </rcc>
  <rcc rId="2229" sId="1" odxf="1" s="1" dxf="1">
    <oc r="E79">
      <f>12027.8-4627.6-1595.7</f>
    </oc>
    <nc r="E79">
      <f>12027.8-4627.6-1595.7</f>
    </nc>
    <ndxf/>
  </rcc>
  <rcc rId="2230" sId="1" odxf="1" s="1" dxf="1">
    <oc r="E80">
      <f>+E81</f>
    </oc>
    <nc r="E80">
      <f>+E81</f>
    </nc>
    <ndxf/>
  </rcc>
  <rfmt sheetId="1" s="1" sqref="E81" start="0" length="0">
    <dxf/>
  </rfmt>
  <rcc rId="2231" sId="1" odxf="1">
    <oc r="E82">
      <f>E84+E83</f>
    </oc>
    <nc r="E82">
      <f>E84+E83</f>
    </nc>
  </rcc>
  <rcc rId="2232" sId="1" odxf="1" s="1" dxf="1">
    <oc r="E83">
      <f>64391.4-60</f>
    </oc>
    <nc r="E83">
      <f>64391.4-60</f>
    </nc>
    <ndxf/>
  </rcc>
  <rcc rId="2233" sId="1" odxf="1" dxf="1">
    <oc r="E84">
      <f>18579.5+37.9+100+3594.9+0.1</f>
    </oc>
    <nc r="E84">
      <f>18579.5+37.9+100+3594.9+0.1</f>
    </nc>
    <ndxf>
      <font>
        <sz val="12"/>
        <color rgb="FFFF0000"/>
        <name val="Times New Roman"/>
        <family val="1"/>
      </font>
    </ndxf>
  </rcc>
  <rcc rId="2234" sId="1" odxf="1" s="1" dxf="1">
    <oc r="E85">
      <f>E87+E86</f>
    </oc>
    <nc r="E85">
      <f>E87+E86</f>
    </nc>
    <ndxf/>
  </rcc>
  <rcc rId="2235" sId="1" odxf="1" s="1" dxf="1">
    <oc r="E86">
      <f>45</f>
    </oc>
    <nc r="E86">
      <f>45</f>
    </nc>
    <ndxf/>
  </rcc>
  <rcc rId="2236" sId="1" odxf="1">
    <oc r="E87">
      <f>115+100+90+34926.3+60</f>
    </oc>
    <nc r="E87">
      <f>115+100+90+34926.3+60</f>
    </nc>
  </rcc>
  <rcc rId="2237" sId="1" odxf="1" s="1" dxf="1">
    <oc r="E88">
      <f>E89</f>
    </oc>
    <nc r="E88">
      <f>E89</f>
    </nc>
    <ndxf/>
  </rcc>
  <rcc rId="2238" sId="1" odxf="1" dxf="1">
    <oc r="E89">
      <f>4660+497.5</f>
    </oc>
    <nc r="E89">
      <f>4660+497.5</f>
    </nc>
    <ndxf>
      <font>
        <sz val="12"/>
        <color rgb="FFFF0000"/>
        <name val="Times New Roman"/>
        <family val="1"/>
      </font>
    </ndxf>
  </rcc>
  <rcc rId="2239" sId="1" odxf="1" s="1" dxf="1">
    <oc r="E90">
      <f>E91</f>
    </oc>
    <nc r="E90">
      <f>E91</f>
    </nc>
    <ndxf/>
  </rcc>
  <rcc rId="2240" sId="1" odxf="1" s="1" dxf="1">
    <oc r="E92">
      <f>E93</f>
    </oc>
    <nc r="E92">
      <f>E93</f>
    </nc>
    <ndxf/>
  </rcc>
  <rcc rId="2241" sId="1" odxf="1">
    <oc r="E93">
      <f>1603.7+219.8+0.1</f>
    </oc>
    <nc r="E93">
      <f>1603.7+219.8+0.1</f>
    </nc>
  </rcc>
  <rcc rId="2242" sId="1" odxf="1">
    <oc r="E94">
      <f>+E95</f>
    </oc>
    <nc r="E94">
      <f>+E95</f>
    </nc>
  </rcc>
  <rcc rId="2243" sId="1" odxf="1">
    <oc r="E95">
      <f>513.3</f>
    </oc>
    <nc r="E95">
      <f>513.3</f>
    </nc>
  </rcc>
  <rcc rId="2244" sId="1" odxf="1" s="1" dxf="1">
    <oc r="E96">
      <f>+E97</f>
    </oc>
    <nc r="E96">
      <f>+E97</f>
    </nc>
    <ndxf/>
  </rcc>
  <rcc rId="2245" sId="1" odxf="1" s="1" dxf="1">
    <oc r="E98">
      <f>+E99</f>
    </oc>
    <nc r="E98">
      <f>+E99</f>
    </nc>
    <ndxf/>
  </rcc>
  <rcc rId="2246" sId="1" odxf="1" s="1" dxf="1">
    <oc r="E100">
      <f>+E101</f>
    </oc>
    <nc r="E100">
      <f>+E101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47" sId="1" odxf="1" s="1" dxf="1">
    <oc r="E102">
      <f>+E103</f>
    </oc>
    <nc r="E102">
      <f>+E103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48" sId="1" odxf="1" dxf="1">
    <oc r="E103">
      <f>12381.6+500</f>
    </oc>
    <nc r="E103">
      <f>12381.6+500</f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2249" sId="1" odxf="1" s="1" dxf="1">
    <oc r="E104">
      <f>+E105</f>
    </oc>
    <nc r="E104">
      <f>+E105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0" sId="1" odxf="1" s="1" dxf="1">
    <oc r="E106">
      <f>+E107</f>
    </oc>
    <nc r="E106">
      <f>+E107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1" sId="1" odxf="1" s="1" dxf="1">
    <oc r="E108">
      <f>E109</f>
    </oc>
    <nc r="E108">
      <f>E109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2" sId="1" odxf="1">
    <oc r="E109">
      <f>E110</f>
    </oc>
    <nc r="E109">
      <f>E110</f>
    </nc>
    <odxf/>
  </rcc>
  <rcc rId="2253" sId="1" odxf="1" s="1" dxf="1">
    <oc r="E110">
      <f>E111+E116</f>
    </oc>
    <nc r="E110">
      <f>E111+E116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4" sId="1" odxf="1">
    <oc r="E111">
      <f>E112+E113+E115+E114</f>
    </oc>
    <nc r="E111">
      <f>E112+E113+E115+E114</f>
    </nc>
    <odxf/>
  </rcc>
  <rcc rId="2255" sId="1" odxf="1" s="1" dxf="1">
    <oc r="E112">
      <f>60250.9+1749.6</f>
    </oc>
    <nc r="E112">
      <f>60250.9+1749.6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="1" sqref="E114" start="0" length="0">
    <dxf/>
  </rfmt>
  <rcc rId="2256" sId="1" odxf="1" s="1" dxf="1">
    <oc r="E116">
      <f>E117+E118</f>
    </oc>
    <nc r="E116">
      <f>E117+E118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="1" sqref="E118" start="0" length="0">
    <dxf/>
  </rfmt>
  <rcc rId="2257" sId="1" odxf="1">
    <oc r="E119">
      <f>E120</f>
    </oc>
    <nc r="E119">
      <f>E120</f>
    </nc>
    <odxf/>
  </rcc>
  <rcc rId="2258" sId="1" odxf="1" s="1" dxf="1">
    <oc r="E120">
      <f>E121</f>
    </oc>
    <nc r="E120">
      <f>E121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9" sId="1" odxf="1">
    <oc r="E121">
      <f>E122</f>
    </oc>
    <nc r="E121">
      <f>E122</f>
    </nc>
    <odxf/>
  </rcc>
  <rcc rId="2260" sId="1" odxf="1" s="1" dxf="1">
    <oc r="E122">
      <f>E123</f>
    </oc>
    <nc r="E122">
      <f>E123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61" sId="1">
    <oc r="F234">
      <f>F235+F237+F257+F259+F262+F269+F249+F239+F254+F251+F241+#REF!+F245+F264+F247+F267+F243</f>
    </oc>
    <nc r="F234">
      <f>F235+F237+F257+F259+F262+F269+F249+F239+F254+F251+F241+F245+F264+F247+F267+F243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odxf="1" dxf="1">
    <oc r="E171">
      <f>E172+E278</f>
    </oc>
    <nc r="E171">
      <f>E172+E278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63" sId="1" odxf="1" dxf="1">
    <oc r="E147">
      <f>E148</f>
    </oc>
    <nc r="E147">
      <f>E148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64" sId="1" odxf="1" s="1" dxf="1">
    <oc r="E153">
      <f>+E154</f>
    </oc>
    <nc r="E153">
      <f>+E154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9" tint="0.79998168889431442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2265" sId="1" odxf="1" s="1" dxf="1">
    <oc r="E154">
      <f>+E155</f>
    </oc>
    <nc r="E154">
      <f>+E155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66" sId="1">
    <oc r="E155">
      <f>+E156</f>
    </oc>
    <nc r="E155">
      <f>+E156</f>
    </nc>
  </rcc>
  <rfmt sheetId="1" s="1" sqref="E156" start="0" length="0">
    <dxf/>
  </rfmt>
  <rcc rId="2267" sId="1" odxf="1" s="1" dxf="1">
    <oc r="E157">
      <f>E158</f>
    </oc>
    <nc r="E157">
      <f>E158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9" tint="0.79998168889431442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2268" sId="1">
    <oc r="E158">
      <f>E159</f>
    </oc>
    <nc r="E158">
      <f>E159</f>
    </nc>
  </rcc>
  <rcc rId="2269" sId="1" numFmtId="4">
    <nc r="E170">
      <v>0</v>
    </nc>
  </rcc>
  <rcc rId="2270" sId="1" numFmtId="4">
    <nc r="E218">
      <v>0</v>
    </nc>
  </rcc>
  <rcc rId="2271" sId="1" numFmtId="4">
    <nc r="G218">
      <v>0</v>
    </nc>
  </rcc>
  <rcc rId="2272" sId="1" numFmtId="4">
    <nc r="E224">
      <v>0</v>
    </nc>
  </rcc>
  <rcc rId="2273" sId="1" numFmtId="4">
    <nc r="G224">
      <v>0</v>
    </nc>
  </rcc>
  <rfmt sheetId="1" s="1" sqref="B274" start="0" length="0">
    <dxf>
      <fill>
        <patternFill patternType="none">
          <bgColor indexed="65"/>
        </patternFill>
      </fill>
    </dxf>
  </rfmt>
  <rfmt sheetId="1" s="1" sqref="C274" start="0" length="0">
    <dxf>
      <fill>
        <patternFill patternType="none">
          <bgColor indexed="65"/>
        </patternFill>
      </fill>
    </dxf>
  </rfmt>
  <rfmt sheetId="1" s="1" sqref="D274" start="0" length="0">
    <dxf>
      <fill>
        <patternFill patternType="none">
          <bgColor indexed="65"/>
        </patternFill>
      </fill>
    </dxf>
  </rfmt>
  <rcc rId="2274" sId="1" odxf="1" dxf="1">
    <oc r="E283">
      <f>E284+E295</f>
    </oc>
    <nc r="E283">
      <f>E284+E295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75" sId="1" odxf="1" dxf="1">
    <oc r="E310">
      <f>E325+E311</f>
    </oc>
    <nc r="E310">
      <f>E325+E311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76" sId="1" numFmtId="4">
    <nc r="F316">
      <v>0</v>
    </nc>
  </rcc>
  <rcc rId="2277" sId="1" numFmtId="4">
    <nc r="G316">
      <v>0</v>
    </nc>
  </rcc>
  <rcc rId="2278" sId="1" numFmtId="4">
    <nc r="F315">
      <v>0</v>
    </nc>
  </rcc>
  <rcc rId="2279" sId="1" numFmtId="4">
    <nc r="G315">
      <v>0</v>
    </nc>
  </rcc>
  <rcc rId="2280" sId="1" numFmtId="4">
    <nc r="F318">
      <v>0</v>
    </nc>
  </rcc>
  <rcc rId="2281" sId="1" numFmtId="4">
    <nc r="G318">
      <v>0</v>
    </nc>
  </rcc>
  <rfmt sheetId="1" sqref="A334" start="0" length="0">
    <dxf>
      <fill>
        <patternFill patternType="none">
          <bgColor indexed="65"/>
        </patternFill>
      </fill>
    </dxf>
  </rfmt>
  <rfmt sheetId="1" s="1" sqref="A336" start="0" length="0">
    <dxf>
      <numFmt numFmtId="0" formatCode="General"/>
      <alignment horizontal="general"/>
    </dxf>
  </rfmt>
  <rfmt sheetId="1" s="1" sqref="A337" start="0" length="0">
    <dxf>
      <numFmt numFmtId="0" formatCode="General"/>
    </dxf>
  </rfmt>
  <rfmt sheetId="1" sqref="A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B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C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B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C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282" sId="1" numFmtId="4">
    <nc r="F339">
      <v>0</v>
    </nc>
  </rcc>
  <rcc rId="2283" sId="1" numFmtId="4">
    <nc r="G339">
      <v>0</v>
    </nc>
  </rcc>
  <rcc rId="2284" sId="1">
    <oc r="E347">
      <f>E348</f>
    </oc>
    <nc r="E347">
      <f>E348</f>
    </nc>
  </rcc>
  <rcc rId="2285" sId="1">
    <oc r="F347">
      <f>F348</f>
    </oc>
    <nc r="F347">
      <f>F348</f>
    </nc>
  </rcc>
  <rcc rId="2286" sId="1">
    <oc r="G347">
      <f>G348</f>
    </oc>
    <nc r="G347">
      <f>G348</f>
    </nc>
  </rcc>
  <rfmt sheetId="1" sqref="E348" start="0" length="0">
    <dxf>
      <fill>
        <patternFill patternType="none">
          <bgColor indexed="65"/>
        </patternFill>
      </fill>
    </dxf>
  </rfmt>
  <rfmt sheetId="1" sqref="F348" start="0" length="0">
    <dxf>
      <fill>
        <patternFill patternType="none">
          <bgColor indexed="65"/>
        </patternFill>
      </fill>
    </dxf>
  </rfmt>
  <rfmt sheetId="1" sqref="G348" start="0" length="0">
    <dxf>
      <fill>
        <patternFill patternType="none">
          <bgColor indexed="65"/>
        </patternFill>
      </fill>
    </dxf>
  </rfmt>
  <rcc rId="2287" sId="1" odxf="1" dxf="1">
    <oc r="E349">
      <f>E353+E350</f>
    </oc>
    <nc r="E349">
      <f>E353+E350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288" sId="1" odxf="1" dxf="1">
    <oc r="F349">
      <f>F353+F350</f>
    </oc>
    <nc r="F349">
      <f>F353+F350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289" sId="1" odxf="1" dxf="1">
    <oc r="G349">
      <f>G353+G350</f>
    </oc>
    <nc r="G349">
      <f>G353+G350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290" sId="1">
    <oc r="E350">
      <f>+E351</f>
    </oc>
    <nc r="E350">
      <f>+E351</f>
    </nc>
  </rcc>
  <rcc rId="2291" sId="1">
    <oc r="F350">
      <f>+F351</f>
    </oc>
    <nc r="F350">
      <f>+F351</f>
    </nc>
  </rcc>
  <rcc rId="2292" sId="1">
    <oc r="G350">
      <f>+G351</f>
    </oc>
    <nc r="G350">
      <f>+G351</f>
    </nc>
  </rcc>
  <rcc rId="2293" sId="1" numFmtId="4">
    <nc r="F363">
      <v>0</v>
    </nc>
  </rcc>
  <rcc rId="2294" sId="1" numFmtId="4">
    <nc r="G363">
      <v>0</v>
    </nc>
  </rcc>
  <rcc rId="2295" sId="1" numFmtId="4">
    <nc r="F370">
      <v>0</v>
    </nc>
  </rcc>
  <rcc rId="2296" sId="1" numFmtId="4">
    <nc r="G370">
      <v>0</v>
    </nc>
  </rcc>
  <rcc rId="2297" sId="1" numFmtId="4">
    <nc r="F372">
      <v>0</v>
    </nc>
  </rcc>
  <rcc rId="2298" sId="1" numFmtId="4">
    <nc r="G372">
      <v>0</v>
    </nc>
  </rcc>
  <rcc rId="2299" sId="1" numFmtId="4">
    <nc r="F374">
      <v>0</v>
    </nc>
  </rcc>
  <rcc rId="2300" sId="1" numFmtId="4">
    <nc r="G374">
      <v>0</v>
    </nc>
  </rcc>
  <rcc rId="2301" sId="1" numFmtId="4">
    <nc r="F376">
      <v>0</v>
    </nc>
  </rcc>
  <rcc rId="2302" sId="1" numFmtId="4">
    <nc r="G376">
      <v>0</v>
    </nc>
  </rcc>
  <rcc rId="2303" sId="1" numFmtId="4">
    <nc r="F378">
      <v>0</v>
    </nc>
  </rcc>
  <rcc rId="2304" sId="1" numFmtId="4">
    <nc r="G378">
      <v>0</v>
    </nc>
  </rcc>
  <rcc rId="2305" sId="1" numFmtId="4">
    <nc r="F379">
      <v>0</v>
    </nc>
  </rcc>
  <rcc rId="2306" sId="1" numFmtId="4">
    <nc r="G379">
      <v>0</v>
    </nc>
  </rcc>
  <rcc rId="2307" sId="1" numFmtId="4">
    <nc r="G383">
      <v>0</v>
    </nc>
  </rcc>
  <rcc rId="2308" sId="1" numFmtId="4">
    <nc r="E385">
      <v>0</v>
    </nc>
  </rcc>
  <rcc rId="2309" sId="1" numFmtId="4">
    <nc r="E387">
      <v>0</v>
    </nc>
  </rcc>
  <rcc rId="2310" sId="1" numFmtId="4">
    <nc r="E391">
      <v>0</v>
    </nc>
  </rcc>
  <rcc rId="2311" sId="1" numFmtId="4">
    <nc r="G391">
      <v>0</v>
    </nc>
  </rcc>
  <rcc rId="2312" sId="1" numFmtId="4">
    <nc r="G399">
      <v>0</v>
    </nc>
  </rcc>
  <rcc rId="2313" sId="1" numFmtId="4">
    <nc r="G401">
      <v>0</v>
    </nc>
  </rcc>
  <rcc rId="2314" sId="1" numFmtId="4">
    <nc r="G403">
      <v>0</v>
    </nc>
  </rcc>
  <rcc rId="2315" sId="1" numFmtId="4">
    <nc r="F457">
      <v>0</v>
    </nc>
  </rcc>
  <rcc rId="2316" sId="1" numFmtId="4">
    <nc r="G457">
      <v>0</v>
    </nc>
  </rcc>
  <rcc rId="2317" sId="1" numFmtId="4">
    <nc r="F459">
      <v>0</v>
    </nc>
  </rcc>
  <rcc rId="2318" sId="1" numFmtId="4">
    <nc r="G459">
      <v>0</v>
    </nc>
  </rcc>
  <rcc rId="2319" sId="1" numFmtId="4">
    <nc r="F461">
      <v>0</v>
    </nc>
  </rcc>
  <rcc rId="2320" sId="1" numFmtId="4">
    <nc r="G461">
      <v>0</v>
    </nc>
  </rcc>
  <rcc rId="2321" sId="1" numFmtId="4">
    <nc r="F463">
      <v>0</v>
    </nc>
  </rcc>
  <rcc rId="2322" sId="1" numFmtId="4">
    <nc r="G463">
      <v>0</v>
    </nc>
  </rcc>
  <rcc rId="2323" sId="1" numFmtId="4">
    <nc r="G465">
      <v>0</v>
    </nc>
  </rcc>
  <rcc rId="2324" sId="1" numFmtId="4">
    <nc r="F465">
      <v>0</v>
    </nc>
  </rcc>
  <rcc rId="2325" sId="1" numFmtId="4">
    <nc r="F467">
      <v>0</v>
    </nc>
  </rcc>
  <rcc rId="2326" sId="1" numFmtId="4">
    <nc r="G467">
      <v>0</v>
    </nc>
  </rcc>
  <rcc rId="2327" sId="1" numFmtId="4">
    <nc r="F469">
      <v>0</v>
    </nc>
  </rcc>
  <rcc rId="2328" sId="1" numFmtId="4">
    <nc r="G469">
      <v>0</v>
    </nc>
  </rcc>
  <rcc rId="2329" sId="1" numFmtId="4">
    <nc r="F471">
      <v>0</v>
    </nc>
  </rcc>
  <rcc rId="2330" sId="1" numFmtId="4">
    <nc r="G471">
      <v>0</v>
    </nc>
  </rcc>
  <rcc rId="2331" sId="1" numFmtId="4">
    <nc r="F473">
      <v>0</v>
    </nc>
  </rcc>
  <rcc rId="2332" sId="1" numFmtId="4">
    <nc r="G473">
      <v>0</v>
    </nc>
  </rcc>
  <rcc rId="2333" sId="1" numFmtId="4">
    <nc r="F475">
      <v>0</v>
    </nc>
  </rcc>
  <rcc rId="2334" sId="1" numFmtId="4">
    <nc r="G475">
      <v>0</v>
    </nc>
  </rcc>
  <rcc rId="2335" sId="1" numFmtId="4">
    <nc r="F477">
      <v>0</v>
    </nc>
  </rcc>
  <rcc rId="2336" sId="1" numFmtId="4">
    <nc r="G477">
      <v>0</v>
    </nc>
  </rcc>
  <rcc rId="2337" sId="1" numFmtId="4">
    <nc r="F479">
      <v>0</v>
    </nc>
  </rcc>
  <rcc rId="2338" sId="1" numFmtId="4">
    <nc r="G479">
      <v>0</v>
    </nc>
  </rcc>
  <rcc rId="2339" sId="1" numFmtId="4">
    <nc r="F481">
      <v>0</v>
    </nc>
  </rcc>
  <rcc rId="2340" sId="1" numFmtId="4">
    <nc r="G481">
      <v>0</v>
    </nc>
  </rcc>
  <rcc rId="2341" sId="1" odxf="1" dxf="1">
    <oc r="E501">
      <f>E505+E502</f>
    </oc>
    <nc r="E501">
      <f>E505+E502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fmt sheetId="1" sqref="A502" start="0" length="0">
    <dxf>
      <font>
        <color auto="1"/>
        <family val="1"/>
      </font>
      <fill>
        <patternFill patternType="none">
          <bgColor indexed="65"/>
        </patternFill>
      </fill>
      <alignment horizontal="general"/>
    </dxf>
  </rfmt>
  <rfmt sheetId="1" sqref="A503" start="0" length="0">
    <dxf>
      <font>
        <color auto="1"/>
        <family val="1"/>
      </font>
      <fill>
        <patternFill patternType="none">
          <bgColor indexed="65"/>
        </patternFill>
      </fill>
      <alignment horizontal="general"/>
    </dxf>
  </rfmt>
  <rfmt sheetId="1" s="1" sqref="B502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502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502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B50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50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50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B50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50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50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cc rId="2342" sId="1" numFmtId="4">
    <nc r="F504">
      <v>0</v>
    </nc>
  </rcc>
  <rcc rId="2343" sId="1" numFmtId="4">
    <nc r="G504">
      <v>0</v>
    </nc>
  </rcc>
  <rfmt sheetId="1" sqref="A528" start="0" length="0">
    <dxf>
      <fill>
        <patternFill patternType="none">
          <bgColor indexed="65"/>
        </patternFill>
      </fill>
    </dxf>
  </rfmt>
  <rfmt sheetId="1" sqref="D534" start="0" length="0">
    <dxf>
      <font>
        <sz val="12"/>
        <name val="Times New Roman"/>
        <family val="1"/>
      </font>
    </dxf>
  </rfmt>
  <rfmt sheetId="1" sqref="D535" start="0" length="0">
    <dxf>
      <font>
        <sz val="12"/>
        <name val="Times New Roman"/>
        <family val="1"/>
      </font>
    </dxf>
  </rfmt>
  <rfmt sheetId="1" sqref="D53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53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540" start="0" length="0">
    <dxf>
      <font>
        <sz val="12"/>
        <name val="Times New Roman"/>
        <family val="1"/>
      </font>
    </dxf>
  </rfmt>
  <rfmt sheetId="1" sqref="D541" start="0" length="0">
    <dxf>
      <font>
        <sz val="12"/>
        <name val="Times New Roman"/>
        <family val="1"/>
      </font>
    </dxf>
  </rfmt>
  <rfmt sheetId="1" sqref="C536" start="0" length="0">
    <dxf>
      <fill>
        <patternFill patternType="none">
          <bgColor indexed="65"/>
        </patternFill>
      </fill>
    </dxf>
  </rfmt>
  <rfmt sheetId="1" sqref="C537" start="0" length="0">
    <dxf>
      <fill>
        <patternFill patternType="none">
          <bgColor indexed="65"/>
        </patternFill>
      </fill>
    </dxf>
  </rfmt>
  <rfmt sheetId="1" sqref="C538" start="0" length="0">
    <dxf>
      <font>
        <sz val="12"/>
        <name val="Times New Roman"/>
        <family val="1"/>
      </font>
    </dxf>
  </rfmt>
  <rfmt sheetId="1" sqref="C539" start="0" length="0">
    <dxf>
      <font>
        <sz val="12"/>
        <name val="Times New Roman"/>
        <family val="1"/>
      </font>
    </dxf>
  </rfmt>
  <rfmt sheetId="1" sqref="C542" start="0" length="0">
    <dxf>
      <font>
        <sz val="12"/>
        <name val="Times New Roman"/>
        <family val="1"/>
      </font>
    </dxf>
  </rfmt>
  <rcc rId="2344" sId="1" odxf="1" dxf="1">
    <oc r="E589">
      <f>E590+E595+E603</f>
    </oc>
    <nc r="E589">
      <f>E590+E595+E603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45" sId="1" numFmtId="4">
    <nc r="F128">
      <v>0</v>
    </nc>
  </rcc>
  <rcc rId="2346" sId="1" numFmtId="4">
    <nc r="G128">
      <v>0</v>
    </nc>
  </rcc>
  <rcc rId="2347" sId="1" numFmtId="4">
    <nc r="G268">
      <v>0</v>
    </nc>
  </rcc>
  <rcc rId="2348" sId="1" numFmtId="4">
    <nc r="F389">
      <v>0</v>
    </nc>
  </rcc>
  <rcc rId="2349" sId="1" odxf="1" dxf="1">
    <oc r="E611">
      <f>E612</f>
    </oc>
    <nc r="E611">
      <f>E612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50" sId="1" odxf="1" dxf="1">
    <oc r="E618">
      <f>E619</f>
    </oc>
    <nc r="E618">
      <f>E619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51" sId="1">
    <oc r="E619">
      <f>E620+E626</f>
    </oc>
    <nc r="E619">
      <f>E620+E626</f>
    </nc>
  </rcc>
  <rcc rId="2352" sId="1">
    <oc r="E620">
      <f>E621</f>
    </oc>
    <nc r="E620">
      <f>E621</f>
    </nc>
  </rcc>
  <rcc rId="2353" sId="1">
    <oc r="E621">
      <f>E622+E624</f>
    </oc>
    <nc r="E621">
      <f>E622+E624</f>
    </nc>
  </rcc>
  <rcc rId="2354" sId="1">
    <oc r="E622">
      <f>E623</f>
    </oc>
    <nc r="E622">
      <f>E623</f>
    </nc>
  </rcc>
  <rcc rId="2355" sId="1">
    <oc r="E626">
      <f>E627+E635</f>
    </oc>
    <nc r="E626">
      <f>E627+E635</f>
    </nc>
  </rcc>
  <rcc rId="2356" sId="1">
    <oc r="E627">
      <f>E628+E630+E633</f>
    </oc>
    <nc r="E627">
      <f>E628+E630+E633</f>
    </nc>
  </rcc>
  <rcc rId="2357" sId="1">
    <oc r="E628">
      <f>E629</f>
    </oc>
    <nc r="E628">
      <f>E629</f>
    </nc>
  </rcc>
  <rcc rId="2358" sId="1">
    <oc r="E629">
      <f>979615.4+1778.7+9916.4+5366.1</f>
    </oc>
    <nc r="E629">
      <f>979615.4+1778.7+9916.4+5366.1</f>
    </nc>
  </rcc>
  <rcc rId="2359" sId="1">
    <oc r="E630">
      <f>E631+E632</f>
    </oc>
    <nc r="E630">
      <f>E631+E632</f>
    </nc>
  </rcc>
  <rcc rId="2360" sId="1">
    <oc r="E633">
      <f>E634</f>
    </oc>
    <nc r="E633">
      <f>E634</f>
    </nc>
  </rcc>
  <rcc rId="2361" sId="1" odxf="1" dxf="1">
    <oc r="E640">
      <f>E641</f>
    </oc>
    <nc r="E640">
      <f>E641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2" sId="1" odxf="1" dxf="1">
    <oc r="E705">
      <f>E706+E723</f>
    </oc>
    <nc r="E705">
      <f>E706+E723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3" sId="1" odxf="1" dxf="1">
    <oc r="E728">
      <f>E729</f>
    </oc>
    <nc r="E728">
      <f>E729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4" sId="1" odxf="1" dxf="1">
    <oc r="E746">
      <f>E747</f>
    </oc>
    <nc r="E746">
      <f>E747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5" sId="1" numFmtId="4">
    <nc r="F760">
      <v>0</v>
    </nc>
  </rcc>
  <rcc rId="2366" sId="1" numFmtId="4">
    <nc r="G760">
      <v>0</v>
    </nc>
  </rcc>
  <rcc rId="2367" sId="1" numFmtId="4">
    <nc r="F761">
      <v>0</v>
    </nc>
  </rcc>
  <rcc rId="2368" sId="1" numFmtId="4">
    <nc r="G761">
      <v>0</v>
    </nc>
  </rcc>
  <rcc rId="2369" sId="1" numFmtId="4">
    <nc r="F763">
      <v>0</v>
    </nc>
  </rcc>
  <rcc rId="2370" sId="1" numFmtId="4">
    <nc r="G763">
      <v>0</v>
    </nc>
  </rcc>
  <rcc rId="2371" sId="1" odxf="1" dxf="1">
    <oc r="E798">
      <f>E799</f>
    </oc>
    <nc r="E798">
      <f>E799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2" sId="1" odxf="1" dxf="1">
    <oc r="E819">
      <f>E820</f>
    </oc>
    <nc r="E819">
      <f>E820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3" sId="1" odxf="1" dxf="1">
    <oc r="E844">
      <f>E845</f>
    </oc>
    <nc r="E844">
      <f>E845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4" sId="1" odxf="1" dxf="1">
    <oc r="E848">
      <f>E849+E854</f>
    </oc>
    <nc r="E848">
      <f>E849+E854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5" sId="1" odxf="1" dxf="1">
    <oc r="E863">
      <f>E877+E864</f>
    </oc>
    <nc r="E863">
      <f>E877+E864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6" sId="1" odxf="1" dxf="1">
    <oc r="E895">
      <f>E896</f>
    </oc>
    <nc r="E895">
      <f>E896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7" sId="1">
    <oc r="E897">
      <f>E898</f>
    </oc>
    <nc r="E897">
      <f>E898</f>
    </nc>
  </rcc>
  <rcc rId="2378" sId="1">
    <oc r="E898">
      <f>E899</f>
    </oc>
    <nc r="E898">
      <f>E899</f>
    </nc>
  </rcc>
  <rcc rId="2379" sId="1">
    <oc r="E899">
      <f>E900</f>
    </oc>
    <nc r="E899">
      <f>E900</f>
    </nc>
  </rcc>
  <rcc rId="2380" sId="1">
    <oc r="E900">
      <f>50729.9+80.1+58.4</f>
    </oc>
    <nc r="E900">
      <f>50729.9+80.1+58.4</f>
    </nc>
  </rcc>
  <rcc rId="2381" sId="1" odxf="1" dxf="1">
    <oc r="E901">
      <f>E902</f>
    </oc>
    <nc r="E901">
      <f>E902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82" sId="1">
    <oc r="E902">
      <f>E903+E918</f>
    </oc>
    <nc r="E902">
      <f>E903+E918</f>
    </nc>
  </rcc>
  <rcc rId="2383" sId="1" numFmtId="4">
    <nc r="F915">
      <v>0</v>
    </nc>
  </rcc>
  <rcc rId="2384" sId="1" numFmtId="4">
    <nc r="G915">
      <v>0</v>
    </nc>
  </rcc>
  <rcc rId="2385" sId="1" numFmtId="4">
    <nc r="G914">
      <v>0</v>
    </nc>
  </rcc>
  <rcc rId="2386" sId="1" odxf="1" dxf="1">
    <oc r="E924">
      <f>E935+E925</f>
    </oc>
    <nc r="E924">
      <f>E935+E925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87" sId="1" odxf="1" dxf="1">
    <oc r="E947">
      <f>E948</f>
    </oc>
    <nc r="E947">
      <f>E948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88" sId="1">
    <oc r="E948">
      <f>E949</f>
    </oc>
    <nc r="E948">
      <f>E949</f>
    </nc>
  </rcc>
  <rcc rId="2389" sId="1">
    <oc r="E949">
      <f>E950</f>
    </oc>
    <nc r="E949">
      <f>E950</f>
    </nc>
  </rcc>
  <rcc rId="2390" sId="1" odxf="1" dxf="1">
    <oc r="E951">
      <f>E952</f>
    </oc>
    <nc r="E951">
      <f>E952</f>
    </nc>
    <odxf>
      <font>
        <b/>
        <sz val="12"/>
        <name val="Times New Roman"/>
        <family val="1"/>
      </font>
    </odxf>
    <ndxf>
      <font>
        <b val="0"/>
        <sz val="12"/>
        <name val="Times New Roman"/>
        <family val="1"/>
      </font>
    </ndxf>
  </rcc>
  <rcc rId="2391" sId="1" odxf="1" dxf="1">
    <oc r="E952">
      <f>E953</f>
    </oc>
    <nc r="E952">
      <f>E953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oc r="E15">
      <f>3872.4+186.6</f>
    </oc>
    <nc r="E15">
      <v>4059</v>
    </nc>
  </rcc>
  <rcc rId="911" sId="1" odxf="1" s="1" dxf="1" numFmtId="4">
    <oc r="E16">
      <f>E17</f>
    </oc>
    <nc r="E16">
      <v>4059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12" sId="1" numFmtId="4">
    <oc r="E19">
      <f>3872.4+186.7</f>
    </oc>
    <nc r="E19">
      <v>4059.1</v>
    </nc>
  </rcc>
  <rcc rId="913" sId="1" numFmtId="4">
    <oc r="E21">
      <f>3159.8-524.6</f>
    </oc>
    <nc r="E21">
      <v>2635.2000000000003</v>
    </nc>
  </rcc>
  <rcc rId="914" sId="1" numFmtId="4">
    <oc r="E23">
      <f>2937.7-74.4</f>
    </oc>
    <nc r="E23">
      <v>2863.2999999999997</v>
    </nc>
  </rcc>
  <rcc rId="915" sId="1" numFmtId="4">
    <oc r="E25">
      <f>25723.4+1238.8+164+25</f>
    </oc>
    <nc r="E25">
      <v>27151.200000000001</v>
    </nc>
  </rcc>
  <rcc rId="916" sId="1" numFmtId="4">
    <oc r="E28">
      <f>14678.8-1826.5-164-1025</f>
    </oc>
    <nc r="E28">
      <v>11663.3</v>
    </nc>
  </rcc>
  <rcc rId="917" sId="1" numFmtId="4">
    <oc r="E40">
      <f>3799.1+14.1</f>
    </oc>
    <nc r="E40">
      <v>3813.2</v>
    </nc>
  </rcc>
  <rcc rId="918" sId="1" numFmtId="4">
    <oc r="E45">
      <f>5192.8+250.5</f>
    </oc>
    <nc r="E45">
      <v>5443.3</v>
    </nc>
  </rcc>
  <rcc rId="919" sId="1" numFmtId="4">
    <oc r="E46">
      <f>209-176.2</f>
    </oc>
    <nc r="E46">
      <v>32.800000000000011</v>
    </nc>
  </rcc>
  <rcc rId="920" sId="1" numFmtId="4">
    <oc r="E52">
      <f>30.2-12.5-6.7</f>
    </oc>
    <nc r="E52">
      <v>11</v>
    </nc>
  </rcc>
  <rcc rId="921" sId="1" numFmtId="4">
    <oc r="F56">
      <f>59096.4+29865.9</f>
    </oc>
    <nc r="F56">
      <v>88962.3</v>
    </nc>
  </rcc>
  <rcc rId="922" sId="1" numFmtId="4">
    <oc r="G56">
      <f>59096.4+29865.9</f>
    </oc>
    <nc r="G56">
      <v>88962.3</v>
    </nc>
  </rcc>
  <rcc rId="923" sId="1" numFmtId="4">
    <oc r="E56">
      <f>57187.8+28914+5781.7+1375.3+21.7+94</f>
    </oc>
    <nc r="E56">
      <v>88962.3</v>
    </nc>
  </rcc>
  <rcc rId="924" sId="1" numFmtId="4">
    <oc r="E57">
      <f>3615.8+2.4+2000+0.1-21.7</f>
    </oc>
    <nc r="E57">
      <v>5596.6000000000013</v>
    </nc>
  </rcc>
  <rcc rId="925" sId="1" numFmtId="4">
    <oc r="F57">
      <f>3767.5+2000</f>
    </oc>
    <nc r="F57">
      <v>5767.5</v>
    </nc>
  </rcc>
  <rcc rId="926" sId="1" numFmtId="4">
    <oc r="G57">
      <f>4135.8+2000</f>
    </oc>
    <nc r="G57">
      <v>6135.8</v>
    </nc>
  </rcc>
  <rcc rId="927" sId="1" odxf="1" s="1" dxf="1" numFmtId="4">
    <oc r="E58">
      <f>50.2+54+20</f>
    </oc>
    <nc r="E58">
      <v>5596.6000000000013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28" sId="1" odxf="1" s="1" dxf="1" numFmtId="4">
    <oc r="F58">
      <f>50.2+54</f>
    </oc>
    <nc r="F58">
      <v>5767.5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29" sId="1" numFmtId="4">
    <oc r="G58">
      <f>50.2+54</f>
    </oc>
    <nc r="G58">
      <v>6135.8</v>
    </nc>
  </rcc>
  <rcc rId="930" sId="1" numFmtId="4">
    <oc r="E62">
      <f>125000-1421.6-350-7325.6-62561.8-1114+63941.6+40840.1-653.4-653.9-607.6-1141.3-13975-4658.9-1622-881.7-11050.9-11464.5-7687.8+123450.6-3899.5-13526.2-1284.3-8815.8-34682.1+25859.8</f>
    </oc>
    <nc r="E62">
      <v>189714.19999999998</v>
    </nc>
  </rcc>
  <rcc rId="931" sId="1" odxf="1" s="1" dxf="1" numFmtId="4">
    <oc r="E63">
      <f>E64</f>
    </oc>
    <nc r="E63">
      <v>189714.19999999998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32" sId="1" numFmtId="4">
    <oc r="E72">
      <f>10-10</f>
    </oc>
    <nc r="E72">
      <v>10</v>
    </nc>
  </rcc>
  <rcc rId="933" sId="1" numFmtId="4">
    <oc r="E74">
      <f>171071.1+4515.4+26.4</f>
    </oc>
    <nc r="E74">
      <v>175612.9</v>
    </nc>
  </rcc>
  <rcc rId="934" sId="1" numFmtId="4">
    <oc r="E75">
      <f>49178-10+193.7+226.3+1127+46513.3-256.1+1000</f>
    </oc>
    <nc r="E75">
      <v>97972.2</v>
    </nc>
  </rcc>
  <rcc rId="935" sId="1" numFmtId="4">
    <oc r="E79">
      <f>60000-1135-3060.9-6766-464.2-17.7-3997.4-374.8-99.3-55.2-510.6-1327.6-300-9297.6-4.5-485.8-425.8-5927-482-5298.7-3991.7-3950.4</f>
    </oc>
    <nc r="E79">
      <v>12027.800000000005</v>
    </nc>
  </rcc>
  <rcc rId="936" sId="1" numFmtId="4">
    <oc r="F79">
      <f>30000-354.3</f>
    </oc>
    <nc r="F79">
      <v>29645.7</v>
    </nc>
  </rcc>
  <rcc rId="937" sId="1" numFmtId="4">
    <oc r="E80">
      <f>+E81</f>
    </oc>
    <nc r="E80">
      <v>12027.800000000005</v>
    </nc>
  </rcc>
  <rcc rId="938" sId="1" numFmtId="4">
    <oc r="F80">
      <f>+F81</f>
    </oc>
    <nc r="F80">
      <v>29645.7</v>
    </nc>
  </rcc>
  <rcc rId="939" sId="1" numFmtId="4">
    <oc r="E93">
      <f>402.3+689.6+511.8</f>
    </oc>
    <nc r="E93">
      <v>1603.7</v>
    </nc>
  </rcc>
  <rcc rId="940" sId="1" numFmtId="4">
    <oc r="F93">
      <f>402.3+689.6</f>
    </oc>
    <nc r="F93">
      <v>1091.9000000000001</v>
    </nc>
  </rcc>
  <rcc rId="941" sId="1" numFmtId="4">
    <oc r="G93">
      <f>402.3+689.6</f>
    </oc>
    <nc r="G93">
      <v>1091.9000000000001</v>
    </nc>
  </rcc>
  <rcc rId="942" sId="1" odxf="1" s="1" dxf="1" numFmtId="4">
    <oc r="E94">
      <f>+E95</f>
    </oc>
    <nc r="E94">
      <v>1603.7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43" sId="1" odxf="1" s="1" dxf="1" numFmtId="4">
    <oc r="F94">
      <f>+F95</f>
    </oc>
    <nc r="F94">
      <v>1091.9000000000001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44" sId="1" numFmtId="4">
    <oc r="G94">
      <f>+G95</f>
    </oc>
    <nc r="G94">
      <v>1091.9000000000001</v>
    </nc>
  </rcc>
  <rcc rId="945" sId="1" numFmtId="4">
    <oc r="E112">
      <f>55534.7+4071.7+98.6+545.9</f>
    </oc>
    <nc r="E112">
      <v>60250.899999999994</v>
    </nc>
  </rcc>
  <rcc rId="946" sId="1" numFmtId="4">
    <oc r="E113">
      <f>2418.3-98.6</f>
    </oc>
    <nc r="E113">
      <v>2319.7000000000003</v>
    </nc>
  </rcc>
  <rcc rId="947" sId="1" numFmtId="4">
    <oc r="E114">
      <v>915</v>
    </oc>
    <nc r="E114">
      <v>60250.899999999994</v>
    </nc>
  </rcc>
  <rcc rId="948" sId="1" numFmtId="4">
    <oc r="E115">
      <f>230.1+988.8+2558</f>
    </oc>
    <nc r="E115">
      <v>2319.7000000000003</v>
    </nc>
  </rcc>
  <rcc rId="949" sId="1" numFmtId="4">
    <oc r="E117">
      <f>27865.8+8415.4+134.8</f>
    </oc>
    <nc r="E117">
      <v>36416</v>
    </nc>
  </rcc>
  <rcc rId="950" sId="1" numFmtId="4">
    <oc r="F117">
      <f>28980.4+8752.1</f>
    </oc>
    <nc r="F117">
      <v>37732.5</v>
    </nc>
  </rcc>
  <rcc rId="951" sId="1" numFmtId="4">
    <oc r="G117">
      <f>30139.6+9102.1</f>
    </oc>
    <nc r="G117">
      <v>39241.699999999997</v>
    </nc>
  </rcc>
  <rcc rId="952" sId="1" numFmtId="4">
    <oc r="E118">
      <f>1734.1+70</f>
    </oc>
    <nc r="E118">
      <v>1804.1</v>
    </nc>
  </rcc>
  <rcc rId="953" sId="1" odxf="1" s="1" dxf="1" numFmtId="4">
    <oc r="E119">
      <f>E120</f>
    </oc>
    <nc r="E119">
      <v>1804.1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54" sId="1" numFmtId="4">
    <oc r="E177">
      <f>55666.4-55666.4</f>
    </oc>
    <nc r="E177">
      <v>0</v>
    </nc>
  </rcc>
  <rcc rId="955" sId="1" numFmtId="4">
    <oc r="E179">
      <f>24380.6-24380.6</f>
    </oc>
    <nc r="E179">
      <v>0</v>
    </nc>
  </rcc>
  <rrc rId="956" sId="1" ref="A226:XFD226" action="insertRow">
    <undo index="65535" exp="area" ref3D="1" dr="$A$845:$XFD$847" dn="Z_1CA6CCC9_64EF_4CA9_9C9C_1E572976D134_.wvu.Rows" sId="1"/>
    <undo index="65535" exp="area" ref3D="1" dr="$A$840:$XFD$842" dn="Z_1CA6CCC9_64EF_4CA9_9C9C_1E572976D134_.wvu.Rows" sId="1"/>
    <undo index="65535" exp="area" ref3D="1" dr="$A$817:$XFD$837" dn="Z_1CA6CCC9_64EF_4CA9_9C9C_1E572976D134_.wvu.Rows" sId="1"/>
    <undo index="65535" exp="area" ref3D="1" dr="$A$797:$XFD$815" dn="Z_1CA6CCC9_64EF_4CA9_9C9C_1E572976D134_.wvu.Rows" sId="1"/>
    <undo index="65535" exp="area" ref3D="1" dr="$A$791:$XFD$795" dn="Z_1CA6CCC9_64EF_4CA9_9C9C_1E572976D134_.wvu.Rows" sId="1"/>
    <undo index="65535" exp="area" ref3D="1" dr="$A$759:$XFD$788" dn="Z_1CA6CCC9_64EF_4CA9_9C9C_1E572976D134_.wvu.Rows" sId="1"/>
    <undo index="65535" exp="area" ref3D="1" dr="$A$744:$XFD$757" dn="Z_1CA6CCC9_64EF_4CA9_9C9C_1E572976D134_.wvu.Rows" sId="1"/>
    <undo index="65535" exp="area" ref3D="1" dr="$A$740:$XFD$742" dn="Z_1CA6CCC9_64EF_4CA9_9C9C_1E572976D134_.wvu.Rows" sId="1"/>
    <undo index="65535" exp="area" ref3D="1" dr="$A$716:$XFD$737" dn="Z_1CA6CCC9_64EF_4CA9_9C9C_1E572976D134_.wvu.Rows" sId="1"/>
    <undo index="65535" exp="area" ref3D="1" dr="$A$695:$XFD$714" dn="Z_1CA6CCC9_64EF_4CA9_9C9C_1E572976D134_.wvu.Rows" sId="1"/>
    <undo index="65535" exp="area" ref3D="1" dr="$A$648:$XFD$692" dn="Z_1CA6CCC9_64EF_4CA9_9C9C_1E572976D134_.wvu.Rows" sId="1"/>
    <undo index="65535" exp="area" ref3D="1" dr="$A$630:$XFD$646" dn="Z_1CA6CCC9_64EF_4CA9_9C9C_1E572976D134_.wvu.Rows" sId="1"/>
    <undo index="65535" exp="area" ref3D="1" dr="$A$607:$XFD$628" dn="Z_1CA6CCC9_64EF_4CA9_9C9C_1E572976D134_.wvu.Rows" sId="1"/>
    <undo index="65535" exp="area" ref3D="1" dr="$A$542:$XFD$605" dn="Z_1CA6CCC9_64EF_4CA9_9C9C_1E572976D134_.wvu.Rows" sId="1"/>
    <undo index="65535" exp="area" ref3D="1" dr="$A$520:$XFD$540" dn="Z_1CA6CCC9_64EF_4CA9_9C9C_1E572976D134_.wvu.Rows" sId="1"/>
    <undo index="65535" exp="area" ref3D="1" dr="$A$513:$XFD$517" dn="Z_1CA6CCC9_64EF_4CA9_9C9C_1E572976D134_.wvu.Rows" sId="1"/>
    <undo index="65535" exp="area" ref3D="1" dr="$A$491:$XFD$510" dn="Z_1CA6CCC9_64EF_4CA9_9C9C_1E572976D134_.wvu.Rows" sId="1"/>
    <undo index="65535" exp="area" ref3D="1" dr="$A$414:$XFD$489" dn="Z_1CA6CCC9_64EF_4CA9_9C9C_1E572976D134_.wvu.Rows" sId="1"/>
    <undo index="65535" exp="area" ref3D="1" dr="$A$319:$XFD$412" dn="Z_1CA6CCC9_64EF_4CA9_9C9C_1E572976D134_.wvu.Rows" sId="1"/>
    <undo index="65535" exp="area" ref3D="1" dr="$A$287:$XFD$317" dn="Z_1CA6CCC9_64EF_4CA9_9C9C_1E572976D134_.wvu.Rows" sId="1"/>
    <undo index="65535" exp="area" ref3D="1" dr="$A$260:$XFD$284" dn="Z_1CA6CCC9_64EF_4CA9_9C9C_1E572976D134_.wvu.Rows" sId="1"/>
    <undo index="65535" exp="area" ref3D="1" dr="$A$167:$XFD$258" dn="Z_1CA6CCC9_64EF_4CA9_9C9C_1E572976D134_.wvu.Rows" sId="1"/>
  </rrc>
  <rrc rId="957" sId="1" ref="A226:XFD226" action="insertRow">
    <undo index="65535" exp="area" ref3D="1" dr="$A$846:$XFD$848" dn="Z_1CA6CCC9_64EF_4CA9_9C9C_1E572976D134_.wvu.Rows" sId="1"/>
    <undo index="65535" exp="area" ref3D="1" dr="$A$841:$XFD$843" dn="Z_1CA6CCC9_64EF_4CA9_9C9C_1E572976D134_.wvu.Rows" sId="1"/>
    <undo index="65535" exp="area" ref3D="1" dr="$A$818:$XFD$838" dn="Z_1CA6CCC9_64EF_4CA9_9C9C_1E572976D134_.wvu.Rows" sId="1"/>
    <undo index="65535" exp="area" ref3D="1" dr="$A$798:$XFD$816" dn="Z_1CA6CCC9_64EF_4CA9_9C9C_1E572976D134_.wvu.Rows" sId="1"/>
    <undo index="65535" exp="area" ref3D="1" dr="$A$792:$XFD$796" dn="Z_1CA6CCC9_64EF_4CA9_9C9C_1E572976D134_.wvu.Rows" sId="1"/>
    <undo index="65535" exp="area" ref3D="1" dr="$A$760:$XFD$789" dn="Z_1CA6CCC9_64EF_4CA9_9C9C_1E572976D134_.wvu.Rows" sId="1"/>
    <undo index="65535" exp="area" ref3D="1" dr="$A$745:$XFD$758" dn="Z_1CA6CCC9_64EF_4CA9_9C9C_1E572976D134_.wvu.Rows" sId="1"/>
    <undo index="65535" exp="area" ref3D="1" dr="$A$741:$XFD$743" dn="Z_1CA6CCC9_64EF_4CA9_9C9C_1E572976D134_.wvu.Rows" sId="1"/>
    <undo index="65535" exp="area" ref3D="1" dr="$A$717:$XFD$738" dn="Z_1CA6CCC9_64EF_4CA9_9C9C_1E572976D134_.wvu.Rows" sId="1"/>
    <undo index="65535" exp="area" ref3D="1" dr="$A$696:$XFD$715" dn="Z_1CA6CCC9_64EF_4CA9_9C9C_1E572976D134_.wvu.Rows" sId="1"/>
    <undo index="65535" exp="area" ref3D="1" dr="$A$649:$XFD$693" dn="Z_1CA6CCC9_64EF_4CA9_9C9C_1E572976D134_.wvu.Rows" sId="1"/>
    <undo index="65535" exp="area" ref3D="1" dr="$A$631:$XFD$647" dn="Z_1CA6CCC9_64EF_4CA9_9C9C_1E572976D134_.wvu.Rows" sId="1"/>
    <undo index="65535" exp="area" ref3D="1" dr="$A$608:$XFD$629" dn="Z_1CA6CCC9_64EF_4CA9_9C9C_1E572976D134_.wvu.Rows" sId="1"/>
    <undo index="65535" exp="area" ref3D="1" dr="$A$543:$XFD$606" dn="Z_1CA6CCC9_64EF_4CA9_9C9C_1E572976D134_.wvu.Rows" sId="1"/>
    <undo index="65535" exp="area" ref3D="1" dr="$A$521:$XFD$541" dn="Z_1CA6CCC9_64EF_4CA9_9C9C_1E572976D134_.wvu.Rows" sId="1"/>
    <undo index="65535" exp="area" ref3D="1" dr="$A$514:$XFD$518" dn="Z_1CA6CCC9_64EF_4CA9_9C9C_1E572976D134_.wvu.Rows" sId="1"/>
    <undo index="65535" exp="area" ref3D="1" dr="$A$492:$XFD$511" dn="Z_1CA6CCC9_64EF_4CA9_9C9C_1E572976D134_.wvu.Rows" sId="1"/>
    <undo index="65535" exp="area" ref3D="1" dr="$A$415:$XFD$490" dn="Z_1CA6CCC9_64EF_4CA9_9C9C_1E572976D134_.wvu.Rows" sId="1"/>
    <undo index="65535" exp="area" ref3D="1" dr="$A$320:$XFD$413" dn="Z_1CA6CCC9_64EF_4CA9_9C9C_1E572976D134_.wvu.Rows" sId="1"/>
    <undo index="65535" exp="area" ref3D="1" dr="$A$288:$XFD$318" dn="Z_1CA6CCC9_64EF_4CA9_9C9C_1E572976D134_.wvu.Rows" sId="1"/>
    <undo index="65535" exp="area" ref3D="1" dr="$A$261:$XFD$285" dn="Z_1CA6CCC9_64EF_4CA9_9C9C_1E572976D134_.wvu.Rows" sId="1"/>
    <undo index="65535" exp="area" ref3D="1" dr="$A$167:$XFD$259" dn="Z_1CA6CCC9_64EF_4CA9_9C9C_1E572976D134_.wvu.Rows" sId="1"/>
  </rrc>
  <rcc rId="958" sId="1" odxf="1" dxf="1">
    <nc r="A226" t="inlineStr">
      <is>
        <t>Ремонт тротуаров улично-дорожной сети г. Благовещенска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59" sId="1" odxf="1" dxf="1">
    <nc r="A227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0" sId="1" odxf="1" dxf="1">
    <nc r="B226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1" sId="1" odxf="1" dxf="1">
    <nc r="C226" t="inlineStr">
      <is>
        <t>02 2 01 9Д009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226" start="0" length="0">
    <dxf>
      <font>
        <sz val="12"/>
        <name val="Times New Roman"/>
        <family val="1"/>
      </font>
    </dxf>
  </rfmt>
  <rcc rId="962" sId="1" odxf="1" dxf="1">
    <nc r="B227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3" sId="1" odxf="1" dxf="1">
    <nc r="C227" t="inlineStr">
      <is>
        <t>02 2 01 9Д009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4" sId="1" odxf="1" dxf="1">
    <nc r="D227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5" sId="1" numFmtId="4">
    <nc r="E227">
      <v>1535</v>
    </nc>
  </rcc>
  <rcc rId="966" sId="1">
    <nc r="E226">
      <f>+E227</f>
    </nc>
  </rcc>
  <rcc rId="967" sId="1">
    <oc r="E213">
      <f>E214+E216+E238+E240+E243+E248+E228+E218+E233+E230+E220+E236+E224+E245</f>
    </oc>
    <nc r="E213">
      <f>E214+E216+E238+E240+E243+E248+E228+E218+E233+E230+E220+E236+E224+E245+E226</f>
    </nc>
  </rcc>
  <rcc rId="968" sId="1" numFmtId="4">
    <oc r="E138">
      <v>103569.79999999999</v>
    </oc>
    <nc r="E138">
      <f>103569.8+2808.5</f>
    </nc>
  </rcc>
  <rcc rId="969" sId="1" numFmtId="4">
    <oc r="E140">
      <v>844.8</v>
    </oc>
    <nc r="E140">
      <f>844.8+558.9</f>
    </nc>
  </rcc>
  <rcc rId="970" sId="1" numFmtId="4">
    <oc r="E402">
      <v>4371.1000000000004</v>
    </oc>
    <nc r="E402">
      <f>4371.1+542.1</f>
    </nc>
  </rcc>
  <rcc rId="971" sId="1" numFmtId="4">
    <oc r="E532">
      <v>979615.4</v>
    </oc>
    <nc r="E532">
      <f>979615.4+1778.7+9916.4</f>
    </nc>
  </rcc>
  <rcc rId="972" sId="1" numFmtId="4">
    <oc r="E574">
      <v>544267.5</v>
    </oc>
    <nc r="E574">
      <f>544267.5+1388.7+1286.4+9551.8</f>
    </nc>
  </rcc>
  <rcc rId="973" sId="1" numFmtId="4">
    <oc r="E654">
      <v>13342</v>
    </oc>
    <nc r="E654">
      <f>13342+513.9</f>
    </nc>
  </rcc>
  <rcc rId="974" sId="1" numFmtId="4">
    <oc r="E732">
      <v>482.2</v>
    </oc>
    <nc r="E732">
      <f>482.2+112.3</f>
    </nc>
  </rcc>
  <rrc rId="975" sId="1" ref="A336:XFD336" action="insertRow">
    <undo index="65535" exp="area" ref3D="1" dr="$A$847:$XFD$849" dn="Z_1CA6CCC9_64EF_4CA9_9C9C_1E572976D134_.wvu.Rows" sId="1"/>
    <undo index="65535" exp="area" ref3D="1" dr="$A$842:$XFD$844" dn="Z_1CA6CCC9_64EF_4CA9_9C9C_1E572976D134_.wvu.Rows" sId="1"/>
    <undo index="65535" exp="area" ref3D="1" dr="$A$819:$XFD$839" dn="Z_1CA6CCC9_64EF_4CA9_9C9C_1E572976D134_.wvu.Rows" sId="1"/>
    <undo index="65535" exp="area" ref3D="1" dr="$A$799:$XFD$817" dn="Z_1CA6CCC9_64EF_4CA9_9C9C_1E572976D134_.wvu.Rows" sId="1"/>
    <undo index="65535" exp="area" ref3D="1" dr="$A$793:$XFD$797" dn="Z_1CA6CCC9_64EF_4CA9_9C9C_1E572976D134_.wvu.Rows" sId="1"/>
    <undo index="65535" exp="area" ref3D="1" dr="$A$761:$XFD$790" dn="Z_1CA6CCC9_64EF_4CA9_9C9C_1E572976D134_.wvu.Rows" sId="1"/>
    <undo index="65535" exp="area" ref3D="1" dr="$A$746:$XFD$759" dn="Z_1CA6CCC9_64EF_4CA9_9C9C_1E572976D134_.wvu.Rows" sId="1"/>
    <undo index="65535" exp="area" ref3D="1" dr="$A$742:$XFD$744" dn="Z_1CA6CCC9_64EF_4CA9_9C9C_1E572976D134_.wvu.Rows" sId="1"/>
    <undo index="65535" exp="area" ref3D="1" dr="$A$718:$XFD$739" dn="Z_1CA6CCC9_64EF_4CA9_9C9C_1E572976D134_.wvu.Rows" sId="1"/>
    <undo index="65535" exp="area" ref3D="1" dr="$A$697:$XFD$716" dn="Z_1CA6CCC9_64EF_4CA9_9C9C_1E572976D134_.wvu.Rows" sId="1"/>
    <undo index="65535" exp="area" ref3D="1" dr="$A$650:$XFD$694" dn="Z_1CA6CCC9_64EF_4CA9_9C9C_1E572976D134_.wvu.Rows" sId="1"/>
    <undo index="65535" exp="area" ref3D="1" dr="$A$632:$XFD$648" dn="Z_1CA6CCC9_64EF_4CA9_9C9C_1E572976D134_.wvu.Rows" sId="1"/>
    <undo index="65535" exp="area" ref3D="1" dr="$A$609:$XFD$630" dn="Z_1CA6CCC9_64EF_4CA9_9C9C_1E572976D134_.wvu.Rows" sId="1"/>
    <undo index="65535" exp="area" ref3D="1" dr="$A$544:$XFD$607" dn="Z_1CA6CCC9_64EF_4CA9_9C9C_1E572976D134_.wvu.Rows" sId="1"/>
    <undo index="65535" exp="area" ref3D="1" dr="$A$522:$XFD$542" dn="Z_1CA6CCC9_64EF_4CA9_9C9C_1E572976D134_.wvu.Rows" sId="1"/>
    <undo index="65535" exp="area" ref3D="1" dr="$A$515:$XFD$519" dn="Z_1CA6CCC9_64EF_4CA9_9C9C_1E572976D134_.wvu.Rows" sId="1"/>
    <undo index="65535" exp="area" ref3D="1" dr="$A$493:$XFD$512" dn="Z_1CA6CCC9_64EF_4CA9_9C9C_1E572976D134_.wvu.Rows" sId="1"/>
    <undo index="65535" exp="area" ref3D="1" dr="$A$416:$XFD$491" dn="Z_1CA6CCC9_64EF_4CA9_9C9C_1E572976D134_.wvu.Rows" sId="1"/>
    <undo index="65535" exp="area" ref3D="1" dr="$A$321:$XFD$414" dn="Z_1CA6CCC9_64EF_4CA9_9C9C_1E572976D134_.wvu.Rows" sId="1"/>
  </rrc>
  <rrc rId="976" sId="1" ref="A336:XFD336" action="insertRow">
    <undo index="65535" exp="area" ref3D="1" dr="$A$848:$XFD$850" dn="Z_1CA6CCC9_64EF_4CA9_9C9C_1E572976D134_.wvu.Rows" sId="1"/>
    <undo index="65535" exp="area" ref3D="1" dr="$A$843:$XFD$845" dn="Z_1CA6CCC9_64EF_4CA9_9C9C_1E572976D134_.wvu.Rows" sId="1"/>
    <undo index="65535" exp="area" ref3D="1" dr="$A$820:$XFD$840" dn="Z_1CA6CCC9_64EF_4CA9_9C9C_1E572976D134_.wvu.Rows" sId="1"/>
    <undo index="65535" exp="area" ref3D="1" dr="$A$800:$XFD$818" dn="Z_1CA6CCC9_64EF_4CA9_9C9C_1E572976D134_.wvu.Rows" sId="1"/>
    <undo index="65535" exp="area" ref3D="1" dr="$A$794:$XFD$798" dn="Z_1CA6CCC9_64EF_4CA9_9C9C_1E572976D134_.wvu.Rows" sId="1"/>
    <undo index="65535" exp="area" ref3D="1" dr="$A$762:$XFD$791" dn="Z_1CA6CCC9_64EF_4CA9_9C9C_1E572976D134_.wvu.Rows" sId="1"/>
    <undo index="65535" exp="area" ref3D="1" dr="$A$747:$XFD$760" dn="Z_1CA6CCC9_64EF_4CA9_9C9C_1E572976D134_.wvu.Rows" sId="1"/>
    <undo index="65535" exp="area" ref3D="1" dr="$A$743:$XFD$745" dn="Z_1CA6CCC9_64EF_4CA9_9C9C_1E572976D134_.wvu.Rows" sId="1"/>
    <undo index="65535" exp="area" ref3D="1" dr="$A$719:$XFD$740" dn="Z_1CA6CCC9_64EF_4CA9_9C9C_1E572976D134_.wvu.Rows" sId="1"/>
    <undo index="65535" exp="area" ref3D="1" dr="$A$698:$XFD$717" dn="Z_1CA6CCC9_64EF_4CA9_9C9C_1E572976D134_.wvu.Rows" sId="1"/>
    <undo index="65535" exp="area" ref3D="1" dr="$A$651:$XFD$695" dn="Z_1CA6CCC9_64EF_4CA9_9C9C_1E572976D134_.wvu.Rows" sId="1"/>
    <undo index="65535" exp="area" ref3D="1" dr="$A$633:$XFD$649" dn="Z_1CA6CCC9_64EF_4CA9_9C9C_1E572976D134_.wvu.Rows" sId="1"/>
    <undo index="65535" exp="area" ref3D="1" dr="$A$610:$XFD$631" dn="Z_1CA6CCC9_64EF_4CA9_9C9C_1E572976D134_.wvu.Rows" sId="1"/>
    <undo index="65535" exp="area" ref3D="1" dr="$A$545:$XFD$608" dn="Z_1CA6CCC9_64EF_4CA9_9C9C_1E572976D134_.wvu.Rows" sId="1"/>
    <undo index="65535" exp="area" ref3D="1" dr="$A$523:$XFD$543" dn="Z_1CA6CCC9_64EF_4CA9_9C9C_1E572976D134_.wvu.Rows" sId="1"/>
    <undo index="65535" exp="area" ref3D="1" dr="$A$516:$XFD$520" dn="Z_1CA6CCC9_64EF_4CA9_9C9C_1E572976D134_.wvu.Rows" sId="1"/>
    <undo index="65535" exp="area" ref3D="1" dr="$A$494:$XFD$513" dn="Z_1CA6CCC9_64EF_4CA9_9C9C_1E572976D134_.wvu.Rows" sId="1"/>
    <undo index="65535" exp="area" ref3D="1" dr="$A$417:$XFD$492" dn="Z_1CA6CCC9_64EF_4CA9_9C9C_1E572976D134_.wvu.Rows" sId="1"/>
    <undo index="65535" exp="area" ref3D="1" dr="$A$321:$XFD$415" dn="Z_1CA6CCC9_64EF_4CA9_9C9C_1E572976D134_.wvu.Rows" sId="1"/>
  </rrc>
  <rrc rId="977" sId="1" ref="A336:XFD336" action="insertRow">
    <undo index="65535" exp="area" ref3D="1" dr="$A$849:$XFD$851" dn="Z_1CA6CCC9_64EF_4CA9_9C9C_1E572976D134_.wvu.Rows" sId="1"/>
    <undo index="65535" exp="area" ref3D="1" dr="$A$844:$XFD$846" dn="Z_1CA6CCC9_64EF_4CA9_9C9C_1E572976D134_.wvu.Rows" sId="1"/>
    <undo index="65535" exp="area" ref3D="1" dr="$A$821:$XFD$841" dn="Z_1CA6CCC9_64EF_4CA9_9C9C_1E572976D134_.wvu.Rows" sId="1"/>
    <undo index="65535" exp="area" ref3D="1" dr="$A$801:$XFD$819" dn="Z_1CA6CCC9_64EF_4CA9_9C9C_1E572976D134_.wvu.Rows" sId="1"/>
    <undo index="65535" exp="area" ref3D="1" dr="$A$795:$XFD$799" dn="Z_1CA6CCC9_64EF_4CA9_9C9C_1E572976D134_.wvu.Rows" sId="1"/>
    <undo index="65535" exp="area" ref3D="1" dr="$A$763:$XFD$792" dn="Z_1CA6CCC9_64EF_4CA9_9C9C_1E572976D134_.wvu.Rows" sId="1"/>
    <undo index="65535" exp="area" ref3D="1" dr="$A$748:$XFD$761" dn="Z_1CA6CCC9_64EF_4CA9_9C9C_1E572976D134_.wvu.Rows" sId="1"/>
    <undo index="65535" exp="area" ref3D="1" dr="$A$744:$XFD$746" dn="Z_1CA6CCC9_64EF_4CA9_9C9C_1E572976D134_.wvu.Rows" sId="1"/>
    <undo index="65535" exp="area" ref3D="1" dr="$A$720:$XFD$741" dn="Z_1CA6CCC9_64EF_4CA9_9C9C_1E572976D134_.wvu.Rows" sId="1"/>
    <undo index="65535" exp="area" ref3D="1" dr="$A$699:$XFD$718" dn="Z_1CA6CCC9_64EF_4CA9_9C9C_1E572976D134_.wvu.Rows" sId="1"/>
    <undo index="65535" exp="area" ref3D="1" dr="$A$652:$XFD$696" dn="Z_1CA6CCC9_64EF_4CA9_9C9C_1E572976D134_.wvu.Rows" sId="1"/>
    <undo index="65535" exp="area" ref3D="1" dr="$A$634:$XFD$650" dn="Z_1CA6CCC9_64EF_4CA9_9C9C_1E572976D134_.wvu.Rows" sId="1"/>
    <undo index="65535" exp="area" ref3D="1" dr="$A$611:$XFD$632" dn="Z_1CA6CCC9_64EF_4CA9_9C9C_1E572976D134_.wvu.Rows" sId="1"/>
    <undo index="65535" exp="area" ref3D="1" dr="$A$546:$XFD$609" dn="Z_1CA6CCC9_64EF_4CA9_9C9C_1E572976D134_.wvu.Rows" sId="1"/>
    <undo index="65535" exp="area" ref3D="1" dr="$A$524:$XFD$544" dn="Z_1CA6CCC9_64EF_4CA9_9C9C_1E572976D134_.wvu.Rows" sId="1"/>
    <undo index="65535" exp="area" ref3D="1" dr="$A$517:$XFD$521" dn="Z_1CA6CCC9_64EF_4CA9_9C9C_1E572976D134_.wvu.Rows" sId="1"/>
    <undo index="65535" exp="area" ref3D="1" dr="$A$495:$XFD$514" dn="Z_1CA6CCC9_64EF_4CA9_9C9C_1E572976D134_.wvu.Rows" sId="1"/>
    <undo index="65535" exp="area" ref3D="1" dr="$A$418:$XFD$493" dn="Z_1CA6CCC9_64EF_4CA9_9C9C_1E572976D134_.wvu.Rows" sId="1"/>
    <undo index="65535" exp="area" ref3D="1" dr="$A$321:$XFD$416" dn="Z_1CA6CCC9_64EF_4CA9_9C9C_1E572976D134_.wvu.Rows" sId="1"/>
  </rrc>
  <rrc rId="978" sId="1" ref="A336:XFD336" action="insertRow">
    <undo index="65535" exp="area" ref3D="1" dr="$A$850:$XFD$852" dn="Z_1CA6CCC9_64EF_4CA9_9C9C_1E572976D134_.wvu.Rows" sId="1"/>
    <undo index="65535" exp="area" ref3D="1" dr="$A$845:$XFD$847" dn="Z_1CA6CCC9_64EF_4CA9_9C9C_1E572976D134_.wvu.Rows" sId="1"/>
    <undo index="65535" exp="area" ref3D="1" dr="$A$822:$XFD$842" dn="Z_1CA6CCC9_64EF_4CA9_9C9C_1E572976D134_.wvu.Rows" sId="1"/>
    <undo index="65535" exp="area" ref3D="1" dr="$A$802:$XFD$820" dn="Z_1CA6CCC9_64EF_4CA9_9C9C_1E572976D134_.wvu.Rows" sId="1"/>
    <undo index="65535" exp="area" ref3D="1" dr="$A$796:$XFD$800" dn="Z_1CA6CCC9_64EF_4CA9_9C9C_1E572976D134_.wvu.Rows" sId="1"/>
    <undo index="65535" exp="area" ref3D="1" dr="$A$764:$XFD$793" dn="Z_1CA6CCC9_64EF_4CA9_9C9C_1E572976D134_.wvu.Rows" sId="1"/>
    <undo index="65535" exp="area" ref3D="1" dr="$A$749:$XFD$762" dn="Z_1CA6CCC9_64EF_4CA9_9C9C_1E572976D134_.wvu.Rows" sId="1"/>
    <undo index="65535" exp="area" ref3D="1" dr="$A$745:$XFD$747" dn="Z_1CA6CCC9_64EF_4CA9_9C9C_1E572976D134_.wvu.Rows" sId="1"/>
    <undo index="65535" exp="area" ref3D="1" dr="$A$721:$XFD$742" dn="Z_1CA6CCC9_64EF_4CA9_9C9C_1E572976D134_.wvu.Rows" sId="1"/>
    <undo index="65535" exp="area" ref3D="1" dr="$A$700:$XFD$719" dn="Z_1CA6CCC9_64EF_4CA9_9C9C_1E572976D134_.wvu.Rows" sId="1"/>
    <undo index="65535" exp="area" ref3D="1" dr="$A$653:$XFD$697" dn="Z_1CA6CCC9_64EF_4CA9_9C9C_1E572976D134_.wvu.Rows" sId="1"/>
    <undo index="65535" exp="area" ref3D="1" dr="$A$635:$XFD$651" dn="Z_1CA6CCC9_64EF_4CA9_9C9C_1E572976D134_.wvu.Rows" sId="1"/>
    <undo index="65535" exp="area" ref3D="1" dr="$A$612:$XFD$633" dn="Z_1CA6CCC9_64EF_4CA9_9C9C_1E572976D134_.wvu.Rows" sId="1"/>
    <undo index="65535" exp="area" ref3D="1" dr="$A$547:$XFD$610" dn="Z_1CA6CCC9_64EF_4CA9_9C9C_1E572976D134_.wvu.Rows" sId="1"/>
    <undo index="65535" exp="area" ref3D="1" dr="$A$525:$XFD$545" dn="Z_1CA6CCC9_64EF_4CA9_9C9C_1E572976D134_.wvu.Rows" sId="1"/>
    <undo index="65535" exp="area" ref3D="1" dr="$A$518:$XFD$522" dn="Z_1CA6CCC9_64EF_4CA9_9C9C_1E572976D134_.wvu.Rows" sId="1"/>
    <undo index="65535" exp="area" ref3D="1" dr="$A$496:$XFD$515" dn="Z_1CA6CCC9_64EF_4CA9_9C9C_1E572976D134_.wvu.Rows" sId="1"/>
    <undo index="65535" exp="area" ref3D="1" dr="$A$419:$XFD$494" dn="Z_1CA6CCC9_64EF_4CA9_9C9C_1E572976D134_.wvu.Rows" sId="1"/>
    <undo index="65535" exp="area" ref3D="1" dr="$A$321:$XFD$417" dn="Z_1CA6CCC9_64EF_4CA9_9C9C_1E572976D134_.wvu.Rows" sId="1"/>
  </rrc>
  <rrc rId="979" sId="1" ref="A336:XFD337" action="insertRow">
    <undo index="65535" exp="area" ref3D="1" dr="$A$851:$XFD$853" dn="Z_1CA6CCC9_64EF_4CA9_9C9C_1E572976D134_.wvu.Rows" sId="1"/>
    <undo index="65535" exp="area" ref3D="1" dr="$A$846:$XFD$848" dn="Z_1CA6CCC9_64EF_4CA9_9C9C_1E572976D134_.wvu.Rows" sId="1"/>
    <undo index="65535" exp="area" ref3D="1" dr="$A$823:$XFD$843" dn="Z_1CA6CCC9_64EF_4CA9_9C9C_1E572976D134_.wvu.Rows" sId="1"/>
    <undo index="65535" exp="area" ref3D="1" dr="$A$803:$XFD$821" dn="Z_1CA6CCC9_64EF_4CA9_9C9C_1E572976D134_.wvu.Rows" sId="1"/>
    <undo index="65535" exp="area" ref3D="1" dr="$A$797:$XFD$801" dn="Z_1CA6CCC9_64EF_4CA9_9C9C_1E572976D134_.wvu.Rows" sId="1"/>
    <undo index="65535" exp="area" ref3D="1" dr="$A$765:$XFD$794" dn="Z_1CA6CCC9_64EF_4CA9_9C9C_1E572976D134_.wvu.Rows" sId="1"/>
    <undo index="65535" exp="area" ref3D="1" dr="$A$750:$XFD$763" dn="Z_1CA6CCC9_64EF_4CA9_9C9C_1E572976D134_.wvu.Rows" sId="1"/>
    <undo index="65535" exp="area" ref3D="1" dr="$A$746:$XFD$748" dn="Z_1CA6CCC9_64EF_4CA9_9C9C_1E572976D134_.wvu.Rows" sId="1"/>
    <undo index="65535" exp="area" ref3D="1" dr="$A$722:$XFD$743" dn="Z_1CA6CCC9_64EF_4CA9_9C9C_1E572976D134_.wvu.Rows" sId="1"/>
    <undo index="65535" exp="area" ref3D="1" dr="$A$701:$XFD$720" dn="Z_1CA6CCC9_64EF_4CA9_9C9C_1E572976D134_.wvu.Rows" sId="1"/>
    <undo index="65535" exp="area" ref3D="1" dr="$A$654:$XFD$698" dn="Z_1CA6CCC9_64EF_4CA9_9C9C_1E572976D134_.wvu.Rows" sId="1"/>
    <undo index="65535" exp="area" ref3D="1" dr="$A$636:$XFD$652" dn="Z_1CA6CCC9_64EF_4CA9_9C9C_1E572976D134_.wvu.Rows" sId="1"/>
    <undo index="65535" exp="area" ref3D="1" dr="$A$613:$XFD$634" dn="Z_1CA6CCC9_64EF_4CA9_9C9C_1E572976D134_.wvu.Rows" sId="1"/>
    <undo index="65535" exp="area" ref3D="1" dr="$A$548:$XFD$611" dn="Z_1CA6CCC9_64EF_4CA9_9C9C_1E572976D134_.wvu.Rows" sId="1"/>
    <undo index="65535" exp="area" ref3D="1" dr="$A$526:$XFD$546" dn="Z_1CA6CCC9_64EF_4CA9_9C9C_1E572976D134_.wvu.Rows" sId="1"/>
    <undo index="65535" exp="area" ref3D="1" dr="$A$519:$XFD$523" dn="Z_1CA6CCC9_64EF_4CA9_9C9C_1E572976D134_.wvu.Rows" sId="1"/>
    <undo index="65535" exp="area" ref3D="1" dr="$A$497:$XFD$516" dn="Z_1CA6CCC9_64EF_4CA9_9C9C_1E572976D134_.wvu.Rows" sId="1"/>
    <undo index="65535" exp="area" ref3D="1" dr="$A$420:$XFD$495" dn="Z_1CA6CCC9_64EF_4CA9_9C9C_1E572976D134_.wvu.Rows" sId="1"/>
    <undo index="65535" exp="area" ref3D="1" dr="$A$321:$XFD$418" dn="Z_1CA6CCC9_64EF_4CA9_9C9C_1E572976D134_.wvu.Rows" sId="1"/>
  </rrc>
  <rcc rId="980" sId="1" odxf="1" s="1" dxf="1">
    <nc r="A336" t="inlineStr">
      <is>
        <t>Проведение оценки рыночной стоимости оборудования на объекте "Реконструкция очисных сооружений Северного жилого района города Благовещенска, Амурской области (прочие работы по объекту незавершенного строительства)"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981" sId="1" odxf="1" s="1" dxf="1">
    <nc r="A337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2" sId="1" odxf="1" s="1" dxf="1">
    <nc r="A338" t="inlineStr">
      <is>
    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983" sId="1" odxf="1" s="1" dxf="1">
    <nc r="A339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4" sId="1" odxf="1" s="1" dxf="1">
    <nc r="A340" t="inlineStr">
      <is>
    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985" sId="1" odxf="1" s="1" dxf="1">
    <nc r="A341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6" sId="1" odxf="1" s="1" dxf="1">
    <nc r="B336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7" sId="1" odxf="1" s="1" dxf="1">
    <nc r="C336" t="inlineStr">
      <is>
        <t>03 2 01 10716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3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88" sId="1" odxf="1" s="1" dxf="1">
    <nc r="B337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9" sId="1" odxf="1" s="1" dxf="1">
    <nc r="C337" t="inlineStr">
      <is>
        <t>03 2 01 10716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0" sId="1" odxf="1" s="1" dxf="1">
    <nc r="D337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991" sId="1" odxf="1" s="1" dxf="1">
    <nc r="B338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2" sId="1" odxf="1" s="1" dxf="1">
    <nc r="C338" t="inlineStr">
      <is>
        <t>03 2 01 10717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38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93" sId="1" odxf="1" s="1" dxf="1">
    <nc r="B339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4" sId="1" odxf="1" s="1" dxf="1">
    <nc r="C339" t="inlineStr">
      <is>
        <t>03 2 01 10717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5" sId="1" odxf="1" s="1" dxf="1">
    <nc r="D339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996" sId="1" odxf="1" s="1" dxf="1">
    <nc r="B340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7" sId="1" odxf="1" s="1" dxf="1">
    <nc r="C340" t="inlineStr">
      <is>
        <t>03 2 01 10718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40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98" sId="1" odxf="1" s="1" dxf="1">
    <nc r="B341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9" sId="1" odxf="1" s="1" dxf="1">
    <nc r="C341" t="inlineStr">
      <is>
        <t>03 2 01 10718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00" sId="1" odxf="1" s="1" dxf="1">
    <nc r="D341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001" sId="1" numFmtId="4">
    <nc r="E337">
      <v>550</v>
    </nc>
  </rcc>
  <rcc rId="1002" sId="1" numFmtId="4">
    <nc r="E339">
      <v>11.1</v>
    </nc>
  </rcc>
  <rcc rId="1003" sId="1">
    <nc r="E336">
      <f>+E337</f>
    </nc>
  </rcc>
  <rcc rId="1004" sId="1">
    <nc r="E338">
      <f>+E339</f>
    </nc>
  </rcc>
  <rcc rId="1005" sId="1">
    <nc r="E340">
      <f>+E341</f>
    </nc>
  </rcc>
  <rcc rId="1006" sId="1">
    <oc r="E327">
      <f>E328+E330+E332+E334+E348+E350+E352+E354+E356+E342+E346+E358+E360+E362+E364+E366+E368+E344+E370+E372+E374+E376+E378+E380+E382+E384+E386+E388+E390+E392+E400+E394+E396+E398</f>
    </oc>
    <nc r="E327">
      <f>E328+E330+E332+E334+E348+E350+E352+E354+E356+E342+E346+E358+E360+E362+E364+E366+E368+E344+E370+E372+E374+E376+E378+E380+E382+E384+E386+E388+E390+E392+E400+E394+E396+E398+E336+E338+E340</f>
    </nc>
  </rcc>
  <rcc rId="1007" sId="1">
    <oc r="F328">
      <f>F329</f>
    </oc>
    <nc r="F328">
      <f>F329</f>
    </nc>
  </rcc>
  <rcc rId="1008" sId="1">
    <oc r="G328">
      <f>G329</f>
    </oc>
    <nc r="G328">
      <f>G329</f>
    </nc>
  </rcc>
  <rcc rId="1009" sId="1">
    <nc r="F338">
      <f>+F339</f>
    </nc>
  </rcc>
  <rcc rId="1010" sId="1">
    <nc r="G338">
      <f>+G339</f>
    </nc>
  </rcc>
  <rcc rId="1011" sId="1">
    <nc r="F336">
      <f>+F337</f>
    </nc>
  </rcc>
  <rcc rId="1012" sId="1">
    <nc r="G336">
      <f>+G337</f>
    </nc>
  </rcc>
  <rcc rId="1013" sId="1">
    <nc r="F340">
      <f>+F341</f>
    </nc>
  </rcc>
  <rcc rId="1014" sId="1">
    <nc r="G340">
      <f>+G341</f>
    </nc>
  </rcc>
  <rrc rId="1015" sId="1" ref="A451:XFD451" action="insertRow">
    <undo index="65535" exp="area" ref3D="1" dr="$A$853:$XFD$855" dn="Z_1CA6CCC9_64EF_4CA9_9C9C_1E572976D134_.wvu.Rows" sId="1"/>
    <undo index="65535" exp="area" ref3D="1" dr="$A$848:$XFD$850" dn="Z_1CA6CCC9_64EF_4CA9_9C9C_1E572976D134_.wvu.Rows" sId="1"/>
    <undo index="65535" exp="area" ref3D="1" dr="$A$825:$XFD$845" dn="Z_1CA6CCC9_64EF_4CA9_9C9C_1E572976D134_.wvu.Rows" sId="1"/>
    <undo index="65535" exp="area" ref3D="1" dr="$A$805:$XFD$823" dn="Z_1CA6CCC9_64EF_4CA9_9C9C_1E572976D134_.wvu.Rows" sId="1"/>
    <undo index="65535" exp="area" ref3D="1" dr="$A$799:$XFD$803" dn="Z_1CA6CCC9_64EF_4CA9_9C9C_1E572976D134_.wvu.Rows" sId="1"/>
    <undo index="65535" exp="area" ref3D="1" dr="$A$767:$XFD$796" dn="Z_1CA6CCC9_64EF_4CA9_9C9C_1E572976D134_.wvu.Rows" sId="1"/>
    <undo index="65535" exp="area" ref3D="1" dr="$A$752:$XFD$765" dn="Z_1CA6CCC9_64EF_4CA9_9C9C_1E572976D134_.wvu.Rows" sId="1"/>
    <undo index="65535" exp="area" ref3D="1" dr="$A$748:$XFD$750" dn="Z_1CA6CCC9_64EF_4CA9_9C9C_1E572976D134_.wvu.Rows" sId="1"/>
    <undo index="65535" exp="area" ref3D="1" dr="$A$724:$XFD$745" dn="Z_1CA6CCC9_64EF_4CA9_9C9C_1E572976D134_.wvu.Rows" sId="1"/>
    <undo index="65535" exp="area" ref3D="1" dr="$A$703:$XFD$722" dn="Z_1CA6CCC9_64EF_4CA9_9C9C_1E572976D134_.wvu.Rows" sId="1"/>
    <undo index="65535" exp="area" ref3D="1" dr="$A$656:$XFD$700" dn="Z_1CA6CCC9_64EF_4CA9_9C9C_1E572976D134_.wvu.Rows" sId="1"/>
    <undo index="65535" exp="area" ref3D="1" dr="$A$638:$XFD$654" dn="Z_1CA6CCC9_64EF_4CA9_9C9C_1E572976D134_.wvu.Rows" sId="1"/>
    <undo index="65535" exp="area" ref3D="1" dr="$A$615:$XFD$636" dn="Z_1CA6CCC9_64EF_4CA9_9C9C_1E572976D134_.wvu.Rows" sId="1"/>
    <undo index="65535" exp="area" ref3D="1" dr="$A$550:$XFD$613" dn="Z_1CA6CCC9_64EF_4CA9_9C9C_1E572976D134_.wvu.Rows" sId="1"/>
    <undo index="65535" exp="area" ref3D="1" dr="$A$528:$XFD$548" dn="Z_1CA6CCC9_64EF_4CA9_9C9C_1E572976D134_.wvu.Rows" sId="1"/>
    <undo index="65535" exp="area" ref3D="1" dr="$A$521:$XFD$525" dn="Z_1CA6CCC9_64EF_4CA9_9C9C_1E572976D134_.wvu.Rows" sId="1"/>
    <undo index="65535" exp="area" ref3D="1" dr="$A$499:$XFD$518" dn="Z_1CA6CCC9_64EF_4CA9_9C9C_1E572976D134_.wvu.Rows" sId="1"/>
    <undo index="65535" exp="area" ref3D="1" dr="$A$422:$XFD$497" dn="Z_1CA6CCC9_64EF_4CA9_9C9C_1E572976D134_.wvu.Rows" sId="1"/>
  </rrc>
  <rrc rId="1016" sId="1" ref="A451:XFD451" action="insertRow">
    <undo index="65535" exp="area" ref3D="1" dr="$A$854:$XFD$856" dn="Z_1CA6CCC9_64EF_4CA9_9C9C_1E572976D134_.wvu.Rows" sId="1"/>
    <undo index="65535" exp="area" ref3D="1" dr="$A$849:$XFD$851" dn="Z_1CA6CCC9_64EF_4CA9_9C9C_1E572976D134_.wvu.Rows" sId="1"/>
    <undo index="65535" exp="area" ref3D="1" dr="$A$826:$XFD$846" dn="Z_1CA6CCC9_64EF_4CA9_9C9C_1E572976D134_.wvu.Rows" sId="1"/>
    <undo index="65535" exp="area" ref3D="1" dr="$A$806:$XFD$824" dn="Z_1CA6CCC9_64EF_4CA9_9C9C_1E572976D134_.wvu.Rows" sId="1"/>
    <undo index="65535" exp="area" ref3D="1" dr="$A$800:$XFD$804" dn="Z_1CA6CCC9_64EF_4CA9_9C9C_1E572976D134_.wvu.Rows" sId="1"/>
    <undo index="65535" exp="area" ref3D="1" dr="$A$768:$XFD$797" dn="Z_1CA6CCC9_64EF_4CA9_9C9C_1E572976D134_.wvu.Rows" sId="1"/>
    <undo index="65535" exp="area" ref3D="1" dr="$A$753:$XFD$766" dn="Z_1CA6CCC9_64EF_4CA9_9C9C_1E572976D134_.wvu.Rows" sId="1"/>
    <undo index="65535" exp="area" ref3D="1" dr="$A$749:$XFD$751" dn="Z_1CA6CCC9_64EF_4CA9_9C9C_1E572976D134_.wvu.Rows" sId="1"/>
    <undo index="65535" exp="area" ref3D="1" dr="$A$725:$XFD$746" dn="Z_1CA6CCC9_64EF_4CA9_9C9C_1E572976D134_.wvu.Rows" sId="1"/>
    <undo index="65535" exp="area" ref3D="1" dr="$A$704:$XFD$723" dn="Z_1CA6CCC9_64EF_4CA9_9C9C_1E572976D134_.wvu.Rows" sId="1"/>
    <undo index="65535" exp="area" ref3D="1" dr="$A$657:$XFD$701" dn="Z_1CA6CCC9_64EF_4CA9_9C9C_1E572976D134_.wvu.Rows" sId="1"/>
    <undo index="65535" exp="area" ref3D="1" dr="$A$639:$XFD$655" dn="Z_1CA6CCC9_64EF_4CA9_9C9C_1E572976D134_.wvu.Rows" sId="1"/>
    <undo index="65535" exp="area" ref3D="1" dr="$A$616:$XFD$637" dn="Z_1CA6CCC9_64EF_4CA9_9C9C_1E572976D134_.wvu.Rows" sId="1"/>
    <undo index="65535" exp="area" ref3D="1" dr="$A$551:$XFD$614" dn="Z_1CA6CCC9_64EF_4CA9_9C9C_1E572976D134_.wvu.Rows" sId="1"/>
    <undo index="65535" exp="area" ref3D="1" dr="$A$529:$XFD$549" dn="Z_1CA6CCC9_64EF_4CA9_9C9C_1E572976D134_.wvu.Rows" sId="1"/>
    <undo index="65535" exp="area" ref3D="1" dr="$A$522:$XFD$526" dn="Z_1CA6CCC9_64EF_4CA9_9C9C_1E572976D134_.wvu.Rows" sId="1"/>
    <undo index="65535" exp="area" ref3D="1" dr="$A$500:$XFD$519" dn="Z_1CA6CCC9_64EF_4CA9_9C9C_1E572976D134_.wvu.Rows" sId="1"/>
    <undo index="65535" exp="area" ref3D="1" dr="$A$422:$XFD$498" dn="Z_1CA6CCC9_64EF_4CA9_9C9C_1E572976D134_.wvu.Rows" sId="1"/>
  </rrc>
  <rcc rId="1017" sId="1" odxf="1" dxf="1">
    <nc r="A451" t="inlineStr">
      <is>
        <t>Благоустройство общественной территории ул. Зейская – ул. Шевченко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18" sId="1" odxf="1" dxf="1">
    <nc r="A45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19" sId="1" odxf="1" dxf="1">
    <nc r="B451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0" sId="1" odxf="1" dxf="1">
    <nc r="C451" t="inlineStr">
      <is>
        <t>11 2 01 10788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51" start="0" length="0">
    <dxf>
      <font>
        <sz val="12"/>
        <name val="Times New Roman"/>
        <family val="1"/>
      </font>
    </dxf>
  </rfmt>
  <rcc rId="1021" sId="1" odxf="1" dxf="1">
    <nc r="B452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2" sId="1" odxf="1" dxf="1">
    <nc r="C452" t="inlineStr">
      <is>
        <t>11 2 01 10788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3" sId="1" odxf="1" dxf="1">
    <nc r="D45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4" sId="1" numFmtId="4">
    <nc r="E452">
      <v>4666.8</v>
    </nc>
  </rcc>
  <rcc rId="1025" sId="1">
    <nc r="E451">
      <f>+E452</f>
    </nc>
  </rcc>
  <rcc rId="1026" sId="1">
    <nc r="F451">
      <f>+F452</f>
    </nc>
  </rcc>
  <rcc rId="1027" sId="1">
    <nc r="G451">
      <f>+G452</f>
    </nc>
  </rcc>
  <rcc rId="1028" sId="1">
    <oc r="E432">
      <f>E433+E437+E457+E459+E439+E441+E443+E445+E447+E435+E455+E449+E453</f>
    </oc>
    <nc r="E432">
      <f>E433+E437+E457+E459+E439+E441+E443+E445+E447+E435+E455+E449+E453+E451</f>
    </nc>
  </rcc>
  <rcc rId="1029" sId="1" numFmtId="4">
    <oc r="E831">
      <v>253422.3</v>
    </oc>
    <nc r="E831">
      <f>253422.3+6528.9</f>
    </nc>
  </rcc>
  <rrc rId="1030" sId="1" ref="A292:XFD292" action="insertRow">
    <undo index="65535" exp="area" ref3D="1" dr="$A$855:$XFD$857" dn="Z_1CA6CCC9_64EF_4CA9_9C9C_1E572976D134_.wvu.Rows" sId="1"/>
    <undo index="65535" exp="area" ref3D="1" dr="$A$850:$XFD$852" dn="Z_1CA6CCC9_64EF_4CA9_9C9C_1E572976D134_.wvu.Rows" sId="1"/>
    <undo index="65535" exp="area" ref3D="1" dr="$A$827:$XFD$847" dn="Z_1CA6CCC9_64EF_4CA9_9C9C_1E572976D134_.wvu.Rows" sId="1"/>
    <undo index="65535" exp="area" ref3D="1" dr="$A$807:$XFD$825" dn="Z_1CA6CCC9_64EF_4CA9_9C9C_1E572976D134_.wvu.Rows" sId="1"/>
    <undo index="65535" exp="area" ref3D="1" dr="$A$801:$XFD$805" dn="Z_1CA6CCC9_64EF_4CA9_9C9C_1E572976D134_.wvu.Rows" sId="1"/>
    <undo index="65535" exp="area" ref3D="1" dr="$A$769:$XFD$798" dn="Z_1CA6CCC9_64EF_4CA9_9C9C_1E572976D134_.wvu.Rows" sId="1"/>
    <undo index="65535" exp="area" ref3D="1" dr="$A$754:$XFD$767" dn="Z_1CA6CCC9_64EF_4CA9_9C9C_1E572976D134_.wvu.Rows" sId="1"/>
    <undo index="65535" exp="area" ref3D="1" dr="$A$750:$XFD$752" dn="Z_1CA6CCC9_64EF_4CA9_9C9C_1E572976D134_.wvu.Rows" sId="1"/>
    <undo index="65535" exp="area" ref3D="1" dr="$A$726:$XFD$747" dn="Z_1CA6CCC9_64EF_4CA9_9C9C_1E572976D134_.wvu.Rows" sId="1"/>
    <undo index="65535" exp="area" ref3D="1" dr="$A$705:$XFD$724" dn="Z_1CA6CCC9_64EF_4CA9_9C9C_1E572976D134_.wvu.Rows" sId="1"/>
    <undo index="65535" exp="area" ref3D="1" dr="$A$658:$XFD$702" dn="Z_1CA6CCC9_64EF_4CA9_9C9C_1E572976D134_.wvu.Rows" sId="1"/>
    <undo index="65535" exp="area" ref3D="1" dr="$A$640:$XFD$656" dn="Z_1CA6CCC9_64EF_4CA9_9C9C_1E572976D134_.wvu.Rows" sId="1"/>
    <undo index="65535" exp="area" ref3D="1" dr="$A$617:$XFD$638" dn="Z_1CA6CCC9_64EF_4CA9_9C9C_1E572976D134_.wvu.Rows" sId="1"/>
    <undo index="65535" exp="area" ref3D="1" dr="$A$552:$XFD$615" dn="Z_1CA6CCC9_64EF_4CA9_9C9C_1E572976D134_.wvu.Rows" sId="1"/>
    <undo index="65535" exp="area" ref3D="1" dr="$A$530:$XFD$550" dn="Z_1CA6CCC9_64EF_4CA9_9C9C_1E572976D134_.wvu.Rows" sId="1"/>
    <undo index="65535" exp="area" ref3D="1" dr="$A$523:$XFD$527" dn="Z_1CA6CCC9_64EF_4CA9_9C9C_1E572976D134_.wvu.Rows" sId="1"/>
    <undo index="65535" exp="area" ref3D="1" dr="$A$501:$XFD$520" dn="Z_1CA6CCC9_64EF_4CA9_9C9C_1E572976D134_.wvu.Rows" sId="1"/>
    <undo index="65535" exp="area" ref3D="1" dr="$A$422:$XFD$499" dn="Z_1CA6CCC9_64EF_4CA9_9C9C_1E572976D134_.wvu.Rows" sId="1"/>
    <undo index="65535" exp="area" ref3D="1" dr="$A$321:$XFD$420" dn="Z_1CA6CCC9_64EF_4CA9_9C9C_1E572976D134_.wvu.Rows" sId="1"/>
    <undo index="65535" exp="area" ref3D="1" dr="$A$289:$XFD$319" dn="Z_1CA6CCC9_64EF_4CA9_9C9C_1E572976D134_.wvu.Rows" sId="1"/>
  </rrc>
  <rrc rId="1031" sId="1" ref="A292:XFD292" action="insertRow">
    <undo index="65535" exp="area" ref3D="1" dr="$A$856:$XFD$858" dn="Z_1CA6CCC9_64EF_4CA9_9C9C_1E572976D134_.wvu.Rows" sId="1"/>
    <undo index="65535" exp="area" ref3D="1" dr="$A$851:$XFD$853" dn="Z_1CA6CCC9_64EF_4CA9_9C9C_1E572976D134_.wvu.Rows" sId="1"/>
    <undo index="65535" exp="area" ref3D="1" dr="$A$828:$XFD$848" dn="Z_1CA6CCC9_64EF_4CA9_9C9C_1E572976D134_.wvu.Rows" sId="1"/>
    <undo index="65535" exp="area" ref3D="1" dr="$A$808:$XFD$826" dn="Z_1CA6CCC9_64EF_4CA9_9C9C_1E572976D134_.wvu.Rows" sId="1"/>
    <undo index="65535" exp="area" ref3D="1" dr="$A$802:$XFD$806" dn="Z_1CA6CCC9_64EF_4CA9_9C9C_1E572976D134_.wvu.Rows" sId="1"/>
    <undo index="65535" exp="area" ref3D="1" dr="$A$770:$XFD$799" dn="Z_1CA6CCC9_64EF_4CA9_9C9C_1E572976D134_.wvu.Rows" sId="1"/>
    <undo index="65535" exp="area" ref3D="1" dr="$A$755:$XFD$768" dn="Z_1CA6CCC9_64EF_4CA9_9C9C_1E572976D134_.wvu.Rows" sId="1"/>
    <undo index="65535" exp="area" ref3D="1" dr="$A$751:$XFD$753" dn="Z_1CA6CCC9_64EF_4CA9_9C9C_1E572976D134_.wvu.Rows" sId="1"/>
    <undo index="65535" exp="area" ref3D="1" dr="$A$727:$XFD$748" dn="Z_1CA6CCC9_64EF_4CA9_9C9C_1E572976D134_.wvu.Rows" sId="1"/>
    <undo index="65535" exp="area" ref3D="1" dr="$A$706:$XFD$725" dn="Z_1CA6CCC9_64EF_4CA9_9C9C_1E572976D134_.wvu.Rows" sId="1"/>
    <undo index="65535" exp="area" ref3D="1" dr="$A$659:$XFD$703" dn="Z_1CA6CCC9_64EF_4CA9_9C9C_1E572976D134_.wvu.Rows" sId="1"/>
    <undo index="65535" exp="area" ref3D="1" dr="$A$641:$XFD$657" dn="Z_1CA6CCC9_64EF_4CA9_9C9C_1E572976D134_.wvu.Rows" sId="1"/>
    <undo index="65535" exp="area" ref3D="1" dr="$A$618:$XFD$639" dn="Z_1CA6CCC9_64EF_4CA9_9C9C_1E572976D134_.wvu.Rows" sId="1"/>
    <undo index="65535" exp="area" ref3D="1" dr="$A$553:$XFD$616" dn="Z_1CA6CCC9_64EF_4CA9_9C9C_1E572976D134_.wvu.Rows" sId="1"/>
    <undo index="65535" exp="area" ref3D="1" dr="$A$531:$XFD$551" dn="Z_1CA6CCC9_64EF_4CA9_9C9C_1E572976D134_.wvu.Rows" sId="1"/>
    <undo index="65535" exp="area" ref3D="1" dr="$A$524:$XFD$528" dn="Z_1CA6CCC9_64EF_4CA9_9C9C_1E572976D134_.wvu.Rows" sId="1"/>
    <undo index="65535" exp="area" ref3D="1" dr="$A$502:$XFD$521" dn="Z_1CA6CCC9_64EF_4CA9_9C9C_1E572976D134_.wvu.Rows" sId="1"/>
    <undo index="65535" exp="area" ref3D="1" dr="$A$423:$XFD$500" dn="Z_1CA6CCC9_64EF_4CA9_9C9C_1E572976D134_.wvu.Rows" sId="1"/>
    <undo index="65535" exp="area" ref3D="1" dr="$A$322:$XFD$421" dn="Z_1CA6CCC9_64EF_4CA9_9C9C_1E572976D134_.wvu.Rows" sId="1"/>
    <undo index="65535" exp="area" ref3D="1" dr="$A$289:$XFD$320" dn="Z_1CA6CCC9_64EF_4CA9_9C9C_1E572976D134_.wvu.Rows" sId="1"/>
  </rrc>
  <rrc rId="1032" sId="1" ref="A292:XFD292" action="insertRow">
    <undo index="65535" exp="area" ref3D="1" dr="$A$857:$XFD$859" dn="Z_1CA6CCC9_64EF_4CA9_9C9C_1E572976D134_.wvu.Rows" sId="1"/>
    <undo index="65535" exp="area" ref3D="1" dr="$A$852:$XFD$854" dn="Z_1CA6CCC9_64EF_4CA9_9C9C_1E572976D134_.wvu.Rows" sId="1"/>
    <undo index="65535" exp="area" ref3D="1" dr="$A$829:$XFD$849" dn="Z_1CA6CCC9_64EF_4CA9_9C9C_1E572976D134_.wvu.Rows" sId="1"/>
    <undo index="65535" exp="area" ref3D="1" dr="$A$809:$XFD$827" dn="Z_1CA6CCC9_64EF_4CA9_9C9C_1E572976D134_.wvu.Rows" sId="1"/>
    <undo index="65535" exp="area" ref3D="1" dr="$A$803:$XFD$807" dn="Z_1CA6CCC9_64EF_4CA9_9C9C_1E572976D134_.wvu.Rows" sId="1"/>
    <undo index="65535" exp="area" ref3D="1" dr="$A$771:$XFD$800" dn="Z_1CA6CCC9_64EF_4CA9_9C9C_1E572976D134_.wvu.Rows" sId="1"/>
    <undo index="65535" exp="area" ref3D="1" dr="$A$756:$XFD$769" dn="Z_1CA6CCC9_64EF_4CA9_9C9C_1E572976D134_.wvu.Rows" sId="1"/>
    <undo index="65535" exp="area" ref3D="1" dr="$A$752:$XFD$754" dn="Z_1CA6CCC9_64EF_4CA9_9C9C_1E572976D134_.wvu.Rows" sId="1"/>
    <undo index="65535" exp="area" ref3D="1" dr="$A$728:$XFD$749" dn="Z_1CA6CCC9_64EF_4CA9_9C9C_1E572976D134_.wvu.Rows" sId="1"/>
    <undo index="65535" exp="area" ref3D="1" dr="$A$707:$XFD$726" dn="Z_1CA6CCC9_64EF_4CA9_9C9C_1E572976D134_.wvu.Rows" sId="1"/>
    <undo index="65535" exp="area" ref3D="1" dr="$A$660:$XFD$704" dn="Z_1CA6CCC9_64EF_4CA9_9C9C_1E572976D134_.wvu.Rows" sId="1"/>
    <undo index="65535" exp="area" ref3D="1" dr="$A$642:$XFD$658" dn="Z_1CA6CCC9_64EF_4CA9_9C9C_1E572976D134_.wvu.Rows" sId="1"/>
    <undo index="65535" exp="area" ref3D="1" dr="$A$619:$XFD$640" dn="Z_1CA6CCC9_64EF_4CA9_9C9C_1E572976D134_.wvu.Rows" sId="1"/>
    <undo index="65535" exp="area" ref3D="1" dr="$A$554:$XFD$617" dn="Z_1CA6CCC9_64EF_4CA9_9C9C_1E572976D134_.wvu.Rows" sId="1"/>
    <undo index="65535" exp="area" ref3D="1" dr="$A$532:$XFD$552" dn="Z_1CA6CCC9_64EF_4CA9_9C9C_1E572976D134_.wvu.Rows" sId="1"/>
    <undo index="65535" exp="area" ref3D="1" dr="$A$525:$XFD$529" dn="Z_1CA6CCC9_64EF_4CA9_9C9C_1E572976D134_.wvu.Rows" sId="1"/>
    <undo index="65535" exp="area" ref3D="1" dr="$A$503:$XFD$522" dn="Z_1CA6CCC9_64EF_4CA9_9C9C_1E572976D134_.wvu.Rows" sId="1"/>
    <undo index="65535" exp="area" ref3D="1" dr="$A$424:$XFD$501" dn="Z_1CA6CCC9_64EF_4CA9_9C9C_1E572976D134_.wvu.Rows" sId="1"/>
    <undo index="65535" exp="area" ref3D="1" dr="$A$323:$XFD$422" dn="Z_1CA6CCC9_64EF_4CA9_9C9C_1E572976D134_.wvu.Rows" sId="1"/>
    <undo index="65535" exp="area" ref3D="1" dr="$A$289:$XFD$321" dn="Z_1CA6CCC9_64EF_4CA9_9C9C_1E572976D134_.wvu.Rows" sId="1"/>
  </rrc>
  <rcc rId="1033" sId="1" odxf="1" dxf="1">
    <nc r="A292" t="inlineStr">
      <is>
        <t>Выплата возмещения за изымаемые жилые помещения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34" sId="1" odxf="1" dxf="1">
    <nc r="A293" t="inlineStr">
      <is>
        <t>Капитальные вложения в объекты государственной (муниципальной) собственности</t>
      </is>
    </nc>
    <odxf>
      <font>
        <sz val="12"/>
        <name val="Times New Roman"/>
        <family val="1"/>
      </font>
      <numFmt numFmtId="1" formatCode="0"/>
    </odxf>
    <ndxf>
      <font>
        <sz val="12"/>
        <name val="Times New Roman"/>
        <family val="1"/>
      </font>
      <numFmt numFmtId="0" formatCode="General"/>
    </ndxf>
  </rcc>
  <rcc rId="1035" sId="1" odxf="1" s="1" dxf="1">
    <nc r="A294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36" sId="1" odxf="1" dxf="1">
    <nc r="B292" t="inlineStr">
      <is>
        <t>0501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37" sId="1" odxf="1" dxf="1">
    <nc r="C292" t="inlineStr">
      <is>
        <t>01 1 И2 67483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292" start="0" length="0">
    <dxf>
      <font>
        <sz val="12"/>
        <name val="Times New Roman"/>
        <family val="1"/>
      </font>
    </dxf>
  </rfmt>
  <rcc rId="1038" sId="1" odxf="1" dxf="1">
    <nc r="B293" t="inlineStr">
      <is>
        <t>0501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39" sId="1" odxf="1" dxf="1">
    <nc r="C293" t="inlineStr">
      <is>
        <t>01 1 И2 67483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0" sId="1" odxf="1" dxf="1">
    <nc r="D293" t="inlineStr">
      <is>
        <t>400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1" sId="1" odxf="1" dxf="1">
    <nc r="B294" t="inlineStr">
      <is>
        <t>0501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2" sId="1" odxf="1" dxf="1">
    <nc r="C294" t="inlineStr">
      <is>
        <t>01 1 И2 67483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3" sId="1" odxf="1" dxf="1">
    <nc r="D294" t="inlineStr">
      <is>
        <t>800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4" sId="1" numFmtId="4">
    <nc r="E294">
      <v>2079.8000000000002</v>
    </nc>
  </rcc>
  <rcc rId="1045" sId="1">
    <nc r="E292">
      <f>+E293+E294</f>
    </nc>
  </rcc>
  <rcc rId="1046" sId="1">
    <nc r="F292">
      <f>+F293+F294</f>
    </nc>
  </rcc>
  <rcc rId="1047" sId="1">
    <nc r="G292">
      <f>+G293+G294</f>
    </nc>
  </rcc>
  <rcc rId="1048" sId="1">
    <oc r="E291">
      <f>E295</f>
    </oc>
    <nc r="E291">
      <f>E295+E292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C125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</dxf>
  </rfmt>
  <rfmt sheetId="1" s="1" sqref="D125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</dxf>
  </rfmt>
  <rfmt sheetId="1" s="1" sqref="C126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D126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C127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D127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C128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D128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92" sId="1" ref="A528:XFD528" action="deleteRow">
    <undo index="65535" exp="ref" v="1" dr="G528" r="G515" sId="1"/>
    <undo index="65535" exp="ref" v="1" dr="F528" r="F515" sId="1"/>
    <undo index="65535" exp="ref" v="1" dr="E528" r="E515" sId="1"/>
    <undo index="65535" exp="area" ref3D="1" dr="$A$953:$XFD$955" dn="Z_1CA6CCC9_64EF_4CA9_9C9C_1E572976D134_.wvu.Rows" sId="1"/>
    <undo index="65535" exp="area" ref3D="1" dr="$A$948:$XFD$950" dn="Z_1CA6CCC9_64EF_4CA9_9C9C_1E572976D134_.wvu.Rows" sId="1"/>
    <undo index="65535" exp="area" ref3D="1" dr="$A$925:$XFD$945" dn="Z_1CA6CCC9_64EF_4CA9_9C9C_1E572976D134_.wvu.Rows" sId="1"/>
    <undo index="65535" exp="area" ref3D="1" dr="$A$902:$XFD$923" dn="Z_1CA6CCC9_64EF_4CA9_9C9C_1E572976D134_.wvu.Rows" sId="1"/>
    <undo index="65535" exp="area" ref3D="1" dr="$A$896:$XFD$900" dn="Z_1CA6CCC9_64EF_4CA9_9C9C_1E572976D134_.wvu.Rows" sId="1"/>
    <undo index="65535" exp="area" ref3D="1" dr="$A$864:$XFD$893" dn="Z_1CA6CCC9_64EF_4CA9_9C9C_1E572976D134_.wvu.Rows" sId="1"/>
    <undo index="65535" exp="area" ref3D="1" dr="$A$849:$XFD$862" dn="Z_1CA6CCC9_64EF_4CA9_9C9C_1E572976D134_.wvu.Rows" sId="1"/>
    <undo index="65535" exp="area" ref3D="1" dr="$A$845:$XFD$847" dn="Z_1CA6CCC9_64EF_4CA9_9C9C_1E572976D134_.wvu.Rows" sId="1"/>
    <undo index="65535" exp="area" ref3D="1" dr="$A$820:$XFD$841" dn="Z_1CA6CCC9_64EF_4CA9_9C9C_1E572976D134_.wvu.Rows" sId="1"/>
    <undo index="65535" exp="area" ref3D="1" dr="$A$799:$XFD$818" dn="Z_1CA6CCC9_64EF_4CA9_9C9C_1E572976D134_.wvu.Rows" sId="1"/>
    <undo index="65535" exp="area" ref3D="1" dr="$A$747:$XFD$796" dn="Z_1CA6CCC9_64EF_4CA9_9C9C_1E572976D134_.wvu.Rows" sId="1"/>
    <undo index="65535" exp="area" ref3D="1" dr="$A$729:$XFD$745" dn="Z_1CA6CCC9_64EF_4CA9_9C9C_1E572976D134_.wvu.Rows" sId="1"/>
    <undo index="65535" exp="area" ref3D="1" dr="$A$706:$XFD$727" dn="Z_1CA6CCC9_64EF_4CA9_9C9C_1E572976D134_.wvu.Rows" sId="1"/>
    <undo index="65535" exp="area" ref3D="1" dr="$A$641:$XFD$704" dn="Z_1CA6CCC9_64EF_4CA9_9C9C_1E572976D134_.wvu.Rows" sId="1"/>
    <undo index="65535" exp="area" ref3D="1" dr="$A$619:$XFD$639" dn="Z_1CA6CCC9_64EF_4CA9_9C9C_1E572976D134_.wvu.Rows" sId="1"/>
    <undo index="65535" exp="area" ref3D="1" dr="$A$612:$XFD$616" dn="Z_1CA6CCC9_64EF_4CA9_9C9C_1E572976D134_.wvu.Rows" sId="1"/>
    <undo index="65535" exp="area" ref3D="1" dr="$A$590:$XFD$609" dn="Z_1CA6CCC9_64EF_4CA9_9C9C_1E572976D134_.wvu.Rows" sId="1"/>
    <undo index="65535" exp="area" ref3D="1" dr="$A$502:$XFD$588" dn="Z_1CA6CCC9_64EF_4CA9_9C9C_1E572976D134_.wvu.Rows" sId="1"/>
    <rfmt sheetId="1" xfDxf="1" sqref="A528:XFD528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28" t="inlineStr">
        <is>
          <t xml:space="preserve">Перенос игрового комплекса с набережной р. Амур                  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528" t="inlineStr">
        <is>
          <t>0503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528" t="inlineStr">
        <is>
          <t>11 2 01 10785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528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528">
        <f>E529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528">
        <f>F529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528">
        <f>G529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93" sId="1" ref="A528:XFD528" action="deleteRow">
    <undo index="65535" exp="area" ref3D="1" dr="$A$952:$XFD$954" dn="Z_1CA6CCC9_64EF_4CA9_9C9C_1E572976D134_.wvu.Rows" sId="1"/>
    <undo index="65535" exp="area" ref3D="1" dr="$A$947:$XFD$949" dn="Z_1CA6CCC9_64EF_4CA9_9C9C_1E572976D134_.wvu.Rows" sId="1"/>
    <undo index="65535" exp="area" ref3D="1" dr="$A$924:$XFD$944" dn="Z_1CA6CCC9_64EF_4CA9_9C9C_1E572976D134_.wvu.Rows" sId="1"/>
    <undo index="65535" exp="area" ref3D="1" dr="$A$901:$XFD$922" dn="Z_1CA6CCC9_64EF_4CA9_9C9C_1E572976D134_.wvu.Rows" sId="1"/>
    <undo index="65535" exp="area" ref3D="1" dr="$A$895:$XFD$899" dn="Z_1CA6CCC9_64EF_4CA9_9C9C_1E572976D134_.wvu.Rows" sId="1"/>
    <undo index="65535" exp="area" ref3D="1" dr="$A$863:$XFD$892" dn="Z_1CA6CCC9_64EF_4CA9_9C9C_1E572976D134_.wvu.Rows" sId="1"/>
    <undo index="65535" exp="area" ref3D="1" dr="$A$848:$XFD$861" dn="Z_1CA6CCC9_64EF_4CA9_9C9C_1E572976D134_.wvu.Rows" sId="1"/>
    <undo index="65535" exp="area" ref3D="1" dr="$A$844:$XFD$846" dn="Z_1CA6CCC9_64EF_4CA9_9C9C_1E572976D134_.wvu.Rows" sId="1"/>
    <undo index="65535" exp="area" ref3D="1" dr="$A$819:$XFD$840" dn="Z_1CA6CCC9_64EF_4CA9_9C9C_1E572976D134_.wvu.Rows" sId="1"/>
    <undo index="65535" exp="area" ref3D="1" dr="$A$798:$XFD$817" dn="Z_1CA6CCC9_64EF_4CA9_9C9C_1E572976D134_.wvu.Rows" sId="1"/>
    <undo index="65535" exp="area" ref3D="1" dr="$A$746:$XFD$795" dn="Z_1CA6CCC9_64EF_4CA9_9C9C_1E572976D134_.wvu.Rows" sId="1"/>
    <undo index="65535" exp="area" ref3D="1" dr="$A$728:$XFD$744" dn="Z_1CA6CCC9_64EF_4CA9_9C9C_1E572976D134_.wvu.Rows" sId="1"/>
    <undo index="65535" exp="area" ref3D="1" dr="$A$705:$XFD$726" dn="Z_1CA6CCC9_64EF_4CA9_9C9C_1E572976D134_.wvu.Rows" sId="1"/>
    <undo index="65535" exp="area" ref3D="1" dr="$A$640:$XFD$703" dn="Z_1CA6CCC9_64EF_4CA9_9C9C_1E572976D134_.wvu.Rows" sId="1"/>
    <undo index="65535" exp="area" ref3D="1" dr="$A$618:$XFD$638" dn="Z_1CA6CCC9_64EF_4CA9_9C9C_1E572976D134_.wvu.Rows" sId="1"/>
    <undo index="65535" exp="area" ref3D="1" dr="$A$611:$XFD$615" dn="Z_1CA6CCC9_64EF_4CA9_9C9C_1E572976D134_.wvu.Rows" sId="1"/>
    <undo index="65535" exp="area" ref3D="1" dr="$A$589:$XFD$608" dn="Z_1CA6CCC9_64EF_4CA9_9C9C_1E572976D134_.wvu.Rows" sId="1"/>
    <undo index="65535" exp="area" ref3D="1" dr="$A$502:$XFD$587" dn="Z_1CA6CCC9_64EF_4CA9_9C9C_1E572976D134_.wvu.Rows" sId="1"/>
    <rfmt sheetId="1" xfDxf="1" sqref="A528:XFD528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28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528" t="inlineStr">
        <is>
          <t>0503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528" t="inlineStr">
        <is>
          <t>11 2 01 10785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528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528">
        <f>476.7-476.7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528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528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394" sId="1">
    <oc r="E515">
      <f>E516+E520+E542+E544+E522+E524+E526+#REF!+E528+E518+E540+E530+E536+E532+E534+E538</f>
    </oc>
    <nc r="E515">
      <f>E516+E520+E542+E544+E522+E524+E526+E528+E518+E540+E530+E536+E532+E534+E538</f>
    </nc>
  </rcc>
  <rcc rId="2395" sId="1">
    <oc r="F515">
      <f>F516+F520+F542+F544+F522+F524+F526+#REF!+F528+F518+F540+F530+F536+F532+F534+F538</f>
    </oc>
    <nc r="F515">
      <f>F516+F520+F542+F544+F522+F524+F526+F528+F518+F540+F530+F536+F532+F534+F538</f>
    </nc>
  </rcc>
  <rcc rId="2396" sId="1">
    <oc r="G515">
      <f>G516+G520+G542+G544+G522+G524+G526+#REF!+G528+G518+G540+G530+G536+G532+G534+G538</f>
    </oc>
    <nc r="G515">
      <f>G516+G520+G542+G544+G522+G524+G526+G528+G518+G540+G530+G536+G532+G534+G538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97" sId="1" ref="A334:XFD334" action="deleteRow">
    <undo index="65535" exp="ref" v="1" dr="G334" r="G327" sId="1"/>
    <undo index="65535" exp="ref" v="1" dr="F334" r="F327" sId="1"/>
    <undo index="65535" exp="ref" v="1" dr="E334" r="E327" sId="1"/>
    <undo index="65535" exp="area" ref3D="1" dr="$A$951:$XFD$953" dn="Z_1CA6CCC9_64EF_4CA9_9C9C_1E572976D134_.wvu.Rows" sId="1"/>
    <undo index="65535" exp="area" ref3D="1" dr="$A$946:$XFD$948" dn="Z_1CA6CCC9_64EF_4CA9_9C9C_1E572976D134_.wvu.Rows" sId="1"/>
    <undo index="65535" exp="area" ref3D="1" dr="$A$923:$XFD$943" dn="Z_1CA6CCC9_64EF_4CA9_9C9C_1E572976D134_.wvu.Rows" sId="1"/>
    <undo index="65535" exp="area" ref3D="1" dr="$A$900:$XFD$921" dn="Z_1CA6CCC9_64EF_4CA9_9C9C_1E572976D134_.wvu.Rows" sId="1"/>
    <undo index="65535" exp="area" ref3D="1" dr="$A$894:$XFD$898" dn="Z_1CA6CCC9_64EF_4CA9_9C9C_1E572976D134_.wvu.Rows" sId="1"/>
    <undo index="65535" exp="area" ref3D="1" dr="$A$862:$XFD$891" dn="Z_1CA6CCC9_64EF_4CA9_9C9C_1E572976D134_.wvu.Rows" sId="1"/>
    <undo index="65535" exp="area" ref3D="1" dr="$A$847:$XFD$860" dn="Z_1CA6CCC9_64EF_4CA9_9C9C_1E572976D134_.wvu.Rows" sId="1"/>
    <undo index="65535" exp="area" ref3D="1" dr="$A$843:$XFD$845" dn="Z_1CA6CCC9_64EF_4CA9_9C9C_1E572976D134_.wvu.Rows" sId="1"/>
    <undo index="65535" exp="area" ref3D="1" dr="$A$818:$XFD$839" dn="Z_1CA6CCC9_64EF_4CA9_9C9C_1E572976D134_.wvu.Rows" sId="1"/>
    <undo index="65535" exp="area" ref3D="1" dr="$A$797:$XFD$816" dn="Z_1CA6CCC9_64EF_4CA9_9C9C_1E572976D134_.wvu.Rows" sId="1"/>
    <undo index="65535" exp="area" ref3D="1" dr="$A$745:$XFD$794" dn="Z_1CA6CCC9_64EF_4CA9_9C9C_1E572976D134_.wvu.Rows" sId="1"/>
    <undo index="65535" exp="area" ref3D="1" dr="$A$727:$XFD$743" dn="Z_1CA6CCC9_64EF_4CA9_9C9C_1E572976D134_.wvu.Rows" sId="1"/>
    <undo index="65535" exp="area" ref3D="1" dr="$A$704:$XFD$725" dn="Z_1CA6CCC9_64EF_4CA9_9C9C_1E572976D134_.wvu.Rows" sId="1"/>
    <undo index="65535" exp="area" ref3D="1" dr="$A$639:$XFD$702" dn="Z_1CA6CCC9_64EF_4CA9_9C9C_1E572976D134_.wvu.Rows" sId="1"/>
    <undo index="65535" exp="area" ref3D="1" dr="$A$617:$XFD$637" dn="Z_1CA6CCC9_64EF_4CA9_9C9C_1E572976D134_.wvu.Rows" sId="1"/>
    <undo index="65535" exp="area" ref3D="1" dr="$A$610:$XFD$614" dn="Z_1CA6CCC9_64EF_4CA9_9C9C_1E572976D134_.wvu.Rows" sId="1"/>
    <undo index="65535" exp="area" ref3D="1" dr="$A$588:$XFD$607" dn="Z_1CA6CCC9_64EF_4CA9_9C9C_1E572976D134_.wvu.Rows" sId="1"/>
    <undo index="65535" exp="area" ref3D="1" dr="$A$502:$XFD$586" dn="Z_1CA6CCC9_64EF_4CA9_9C9C_1E572976D134_.wvu.Rows" sId="1"/>
    <undo index="65535" exp="area" ref3D="1" dr="$A$350:$XFD$500" dn="Z_1CA6CCC9_64EF_4CA9_9C9C_1E572976D134_.wvu.Rows" sId="1"/>
    <undo index="65535" exp="area" ref3D="1" dr="$A$311:$XFD$348" dn="Z_1CA6CCC9_64EF_4CA9_9C9C_1E572976D134_.wvu.Rows" sId="1"/>
    <rfmt sheetId="1" xfDxf="1" sqref="A334:XFD33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334" t="inlineStr">
        <is>
          <t>Устройство ливневой канализации многоквартирного жилого дома, расположенного по адресу: г.Благовещенск, ул.Ленина, 148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334" t="inlineStr">
        <is>
          <t>0501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334" t="inlineStr">
        <is>
          <t>03 2 02 10223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334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334">
        <f>E335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334">
        <f>F335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334">
        <f>G335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98" sId="1" ref="A334:XFD334" action="deleteRow">
    <undo index="65535" exp="area" ref3D="1" dr="$A$950:$XFD$952" dn="Z_1CA6CCC9_64EF_4CA9_9C9C_1E572976D134_.wvu.Rows" sId="1"/>
    <undo index="65535" exp="area" ref3D="1" dr="$A$945:$XFD$947" dn="Z_1CA6CCC9_64EF_4CA9_9C9C_1E572976D134_.wvu.Rows" sId="1"/>
    <undo index="65535" exp="area" ref3D="1" dr="$A$922:$XFD$942" dn="Z_1CA6CCC9_64EF_4CA9_9C9C_1E572976D134_.wvu.Rows" sId="1"/>
    <undo index="65535" exp="area" ref3D="1" dr="$A$899:$XFD$920" dn="Z_1CA6CCC9_64EF_4CA9_9C9C_1E572976D134_.wvu.Rows" sId="1"/>
    <undo index="65535" exp="area" ref3D="1" dr="$A$893:$XFD$897" dn="Z_1CA6CCC9_64EF_4CA9_9C9C_1E572976D134_.wvu.Rows" sId="1"/>
    <undo index="65535" exp="area" ref3D="1" dr="$A$861:$XFD$890" dn="Z_1CA6CCC9_64EF_4CA9_9C9C_1E572976D134_.wvu.Rows" sId="1"/>
    <undo index="65535" exp="area" ref3D="1" dr="$A$846:$XFD$859" dn="Z_1CA6CCC9_64EF_4CA9_9C9C_1E572976D134_.wvu.Rows" sId="1"/>
    <undo index="65535" exp="area" ref3D="1" dr="$A$842:$XFD$844" dn="Z_1CA6CCC9_64EF_4CA9_9C9C_1E572976D134_.wvu.Rows" sId="1"/>
    <undo index="65535" exp="area" ref3D="1" dr="$A$817:$XFD$838" dn="Z_1CA6CCC9_64EF_4CA9_9C9C_1E572976D134_.wvu.Rows" sId="1"/>
    <undo index="65535" exp="area" ref3D="1" dr="$A$796:$XFD$815" dn="Z_1CA6CCC9_64EF_4CA9_9C9C_1E572976D134_.wvu.Rows" sId="1"/>
    <undo index="65535" exp="area" ref3D="1" dr="$A$744:$XFD$793" dn="Z_1CA6CCC9_64EF_4CA9_9C9C_1E572976D134_.wvu.Rows" sId="1"/>
    <undo index="65535" exp="area" ref3D="1" dr="$A$726:$XFD$742" dn="Z_1CA6CCC9_64EF_4CA9_9C9C_1E572976D134_.wvu.Rows" sId="1"/>
    <undo index="65535" exp="area" ref3D="1" dr="$A$703:$XFD$724" dn="Z_1CA6CCC9_64EF_4CA9_9C9C_1E572976D134_.wvu.Rows" sId="1"/>
    <undo index="65535" exp="area" ref3D="1" dr="$A$638:$XFD$701" dn="Z_1CA6CCC9_64EF_4CA9_9C9C_1E572976D134_.wvu.Rows" sId="1"/>
    <undo index="65535" exp="area" ref3D="1" dr="$A$616:$XFD$636" dn="Z_1CA6CCC9_64EF_4CA9_9C9C_1E572976D134_.wvu.Rows" sId="1"/>
    <undo index="65535" exp="area" ref3D="1" dr="$A$609:$XFD$613" dn="Z_1CA6CCC9_64EF_4CA9_9C9C_1E572976D134_.wvu.Rows" sId="1"/>
    <undo index="65535" exp="area" ref3D="1" dr="$A$587:$XFD$606" dn="Z_1CA6CCC9_64EF_4CA9_9C9C_1E572976D134_.wvu.Rows" sId="1"/>
    <undo index="65535" exp="area" ref3D="1" dr="$A$501:$XFD$585" dn="Z_1CA6CCC9_64EF_4CA9_9C9C_1E572976D134_.wvu.Rows" sId="1"/>
    <undo index="65535" exp="area" ref3D="1" dr="$A$349:$XFD$499" dn="Z_1CA6CCC9_64EF_4CA9_9C9C_1E572976D134_.wvu.Rows" sId="1"/>
    <undo index="65535" exp="area" ref3D="1" dr="$A$311:$XFD$347" dn="Z_1CA6CCC9_64EF_4CA9_9C9C_1E572976D134_.wvu.Rows" sId="1"/>
    <rfmt sheetId="1" xfDxf="1" sqref="A334:XFD33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334" t="inlineStr">
        <is>
          <t>Капитальные вложения в объекты государственной (муниципальной) собственности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334" t="inlineStr">
        <is>
          <t>0501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334" t="inlineStr">
        <is>
          <t>03 2 02 10223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334" t="inlineStr">
        <is>
          <t>400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334">
        <f>1107.8-1107.8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33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33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dn rId="2399" name="_xlfn.ANCHORARRAY" function="1" oldFunction="1" hidden="1" oldHidden="1">
    <formula>#NAME?</formula>
  </rdn>
  <rcc rId="2400" sId="1">
    <oc r="E327">
      <f>E328+#REF!+E330+E332+E338+E334+E336</f>
    </oc>
    <nc r="E327">
      <f>E328+E330+E332+E338+E334+E336</f>
    </nc>
  </rcc>
  <rcc rId="2401" sId="1">
    <oc r="F327">
      <f>F328+#REF!+F330+F332+F338+F334</f>
    </oc>
    <nc r="F327">
      <f>F328+F330+F332+F338+F334+F336</f>
    </nc>
  </rcc>
  <rcc rId="2402" sId="1">
    <oc r="G327">
      <f>G328+#REF!+G330+G332+G338+G334</f>
    </oc>
    <nc r="G327">
      <f>G328+G330+G332+G338+G334+G336</f>
    </nc>
  </rcc>
  <rrc rId="2403" sId="1" ref="A414:XFD414" action="deleteRow">
    <undo index="65535" exp="ref" v="1" dr="G414" r="G357" sId="1"/>
    <undo index="65535" exp="ref" v="1" dr="F414" r="F357" sId="1"/>
    <undo index="65535" exp="ref" v="1" dr="E414" r="E357" sId="1"/>
    <undo index="65535" exp="area" ref3D="1" dr="$A$949:$XFD$951" dn="Z_1CA6CCC9_64EF_4CA9_9C9C_1E572976D134_.wvu.Rows" sId="1"/>
    <undo index="65535" exp="area" ref3D="1" dr="$A$944:$XFD$946" dn="Z_1CA6CCC9_64EF_4CA9_9C9C_1E572976D134_.wvu.Rows" sId="1"/>
    <undo index="65535" exp="area" ref3D="1" dr="$A$921:$XFD$941" dn="Z_1CA6CCC9_64EF_4CA9_9C9C_1E572976D134_.wvu.Rows" sId="1"/>
    <undo index="65535" exp="area" ref3D="1" dr="$A$898:$XFD$919" dn="Z_1CA6CCC9_64EF_4CA9_9C9C_1E572976D134_.wvu.Rows" sId="1"/>
    <undo index="65535" exp="area" ref3D="1" dr="$A$892:$XFD$896" dn="Z_1CA6CCC9_64EF_4CA9_9C9C_1E572976D134_.wvu.Rows" sId="1"/>
    <undo index="65535" exp="area" ref3D="1" dr="$A$860:$XFD$889" dn="Z_1CA6CCC9_64EF_4CA9_9C9C_1E572976D134_.wvu.Rows" sId="1"/>
    <undo index="65535" exp="area" ref3D="1" dr="$A$845:$XFD$858" dn="Z_1CA6CCC9_64EF_4CA9_9C9C_1E572976D134_.wvu.Rows" sId="1"/>
    <undo index="65535" exp="area" ref3D="1" dr="$A$841:$XFD$843" dn="Z_1CA6CCC9_64EF_4CA9_9C9C_1E572976D134_.wvu.Rows" sId="1"/>
    <undo index="65535" exp="area" ref3D="1" dr="$A$816:$XFD$837" dn="Z_1CA6CCC9_64EF_4CA9_9C9C_1E572976D134_.wvu.Rows" sId="1"/>
    <undo index="65535" exp="area" ref3D="1" dr="$A$795:$XFD$814" dn="Z_1CA6CCC9_64EF_4CA9_9C9C_1E572976D134_.wvu.Rows" sId="1"/>
    <undo index="65535" exp="area" ref3D="1" dr="$A$743:$XFD$792" dn="Z_1CA6CCC9_64EF_4CA9_9C9C_1E572976D134_.wvu.Rows" sId="1"/>
    <undo index="65535" exp="area" ref3D="1" dr="$A$725:$XFD$741" dn="Z_1CA6CCC9_64EF_4CA9_9C9C_1E572976D134_.wvu.Rows" sId="1"/>
    <undo index="65535" exp="area" ref3D="1" dr="$A$702:$XFD$723" dn="Z_1CA6CCC9_64EF_4CA9_9C9C_1E572976D134_.wvu.Rows" sId="1"/>
    <undo index="65535" exp="area" ref3D="1" dr="$A$637:$XFD$700" dn="Z_1CA6CCC9_64EF_4CA9_9C9C_1E572976D134_.wvu.Rows" sId="1"/>
    <undo index="65535" exp="area" ref3D="1" dr="$A$615:$XFD$635" dn="Z_1CA6CCC9_64EF_4CA9_9C9C_1E572976D134_.wvu.Rows" sId="1"/>
    <undo index="65535" exp="area" ref3D="1" dr="$A$608:$XFD$612" dn="Z_1CA6CCC9_64EF_4CA9_9C9C_1E572976D134_.wvu.Rows" sId="1"/>
    <undo index="65535" exp="area" ref3D="1" dr="$A$586:$XFD$605" dn="Z_1CA6CCC9_64EF_4CA9_9C9C_1E572976D134_.wvu.Rows" sId="1"/>
    <undo index="65535" exp="area" ref3D="1" dr="$A$500:$XFD$584" dn="Z_1CA6CCC9_64EF_4CA9_9C9C_1E572976D134_.wvu.Rows" sId="1"/>
    <undo index="65535" exp="area" ref3D="1" dr="$A$348:$XFD$498" dn="Z_1CA6CCC9_64EF_4CA9_9C9C_1E572976D134_.wvu.Rows" sId="1"/>
    <rfmt sheetId="1" xfDxf="1" sqref="A414:XFD41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14" t="inlineStr">
        <is>
          <t>Расходы, направленные на модернизацию коммунальной инфраструктуры (Ремонт водопровода ул. Мухина от ул. Пролетарская до ж/д переезда)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14" t="inlineStr">
        <is>
          <t>0502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414" t="inlineStr">
        <is>
          <t>03 2 01 S7407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414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414">
        <f>E415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414">
        <f>F415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414">
        <f>G415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04" sId="1" ref="A414:XFD414" action="deleteRow"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9:$XFD$583" dn="Z_1CA6CCC9_64EF_4CA9_9C9C_1E572976D134_.wvu.Rows" sId="1"/>
    <undo index="65535" exp="area" ref3D="1" dr="$A$348:$XFD$497" dn="Z_1CA6CCC9_64EF_4CA9_9C9C_1E572976D134_.wvu.Rows" sId="1"/>
    <rfmt sheetId="1" xfDxf="1" sqref="A414:XFD41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14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14" t="inlineStr">
        <is>
          <t>0502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414" t="inlineStr">
        <is>
          <t>03 2 01 S7407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414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414">
        <f>46337.9-43557.6-2780.3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41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41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405" sId="1">
    <oc r="E357">
      <f>E358+E360+E363+E365+E394+E402+E404+E406+E408+E378+E392+E410+E412+#REF!+E414+E416+E418+E390+E420+E422+E424+E426+E428+E430+E432+E434+E436+E438+E440+E442+E450+E444+E446+E448+E369+E371+E373+E380+E386+E396+E398+E400+E454+E456+E458+E462+E464+E468+E470+E472+E474+E476+E452+E460+E466+E367+E375</f>
    </oc>
    <nc r="E357">
      <f>E358+E360+E363+E365+E394+E402+E404+E406+E408+E378+E392+E410+E412+E414+E416+E418+E390+E420+E422+E424+E426+E428+E430+E432+E434+E436+E438+E440+E442+E450+E444+E446+E448+E369+E371+E373+E380+E386+E396+E398+E400+E454+E456+E458+E462+E464+E468+E470+E472+E474+E476+E452+E460+E466+E367+E375</f>
    </nc>
  </rcc>
  <rcc rId="2406" sId="1">
    <oc r="F357">
      <f>F358+F360+F363+F365+F394+F402+F404+F406+F408+F378+F392+F410+F412+#REF!+F414+F416+F418+F390+F420+F422+F424+F426+F428+F430+F432+F434+F436+F438+F440+F442+F450+F444+F446+F448+F369+F371+F373+F380+F386+F396+F398+F400+F454+F456+F458+F462+F464+F468+F470+F472+F474+F476+F452+F460+F466+F367+F375+F382+F384+F388</f>
    </oc>
    <nc r="F357">
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</f>
    </nc>
  </rcc>
  <rcc rId="2407" sId="1">
    <oc r="G357">
      <f>G358+G360+G363+G365+G394+G402+G404+G406+G408+G378+G392+G410+G412+#REF!+G414+G416+G418+G390+G420+G422+G424+G426+G428+G430+G432+G434+G436+G438+G440+G442+G450+G444+G446+G448+G369+G371+G373+G380+G386+G396+G398+G400+G454+G456+G458+G462+G464+G468+G470+G472+G474+G476+G452+G460+G466+G367+G382+G384</f>
    </oc>
    <nc r="G357">
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рпр!$B$1:$B$967</formula>
    <oldFormula>рпр!$B$1:$B$967</oldFormula>
  </rdn>
  <rcv guid="{AA62EF5A-85DE-4BC8-95D5-4F54CE8CF3D6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0" sId="1" odxf="1" dxf="1">
    <oc r="G948">
      <f>G949</f>
    </oc>
    <nc r="G948">
      <f>G949</f>
    </nc>
    <odxf>
      <font>
        <b/>
        <sz val="12"/>
        <name val="Times New Roman"/>
        <family val="1"/>
      </font>
    </odxf>
    <ndxf>
      <font>
        <b val="0"/>
        <sz val="12"/>
        <name val="Times New Roman"/>
        <family val="1"/>
      </font>
    </ndxf>
  </rcc>
  <rcc rId="2411" sId="1">
    <oc r="F357">
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</f>
    </oc>
    <nc r="F357">
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+F382+F384+F388</f>
    </nc>
  </rcc>
  <rcc rId="2412" sId="1">
    <oc r="G357">
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</f>
    </oc>
    <nc r="G357">
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+G382+G384+G388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3" sId="1" ref="A169:XFD169" action="insertRow">
    <undo index="65535" exp="area" ref3D="1" dr="$A$947:$XFD$949" dn="Z_1CA6CCC9_64EF_4CA9_9C9C_1E572976D134_.wvu.Rows" sId="1"/>
    <undo index="65535" exp="area" ref3D="1" dr="$A$942:$XFD$944" dn="Z_1CA6CCC9_64EF_4CA9_9C9C_1E572976D134_.wvu.Rows" sId="1"/>
    <undo index="65535" exp="area" ref3D="1" dr="$A$919:$XFD$939" dn="Z_1CA6CCC9_64EF_4CA9_9C9C_1E572976D134_.wvu.Rows" sId="1"/>
    <undo index="65535" exp="area" ref3D="1" dr="$A$896:$XFD$917" dn="Z_1CA6CCC9_64EF_4CA9_9C9C_1E572976D134_.wvu.Rows" sId="1"/>
    <undo index="65535" exp="area" ref3D="1" dr="$A$890:$XFD$894" dn="Z_1CA6CCC9_64EF_4CA9_9C9C_1E572976D134_.wvu.Rows" sId="1"/>
    <undo index="65535" exp="area" ref3D="1" dr="$A$858:$XFD$887" dn="Z_1CA6CCC9_64EF_4CA9_9C9C_1E572976D134_.wvu.Rows" sId="1"/>
    <undo index="65535" exp="area" ref3D="1" dr="$A$843:$XFD$856" dn="Z_1CA6CCC9_64EF_4CA9_9C9C_1E572976D134_.wvu.Rows" sId="1"/>
    <undo index="65535" exp="area" ref3D="1" dr="$A$839:$XFD$841" dn="Z_1CA6CCC9_64EF_4CA9_9C9C_1E572976D134_.wvu.Rows" sId="1"/>
    <undo index="65535" exp="area" ref3D="1" dr="$A$814:$XFD$835" dn="Z_1CA6CCC9_64EF_4CA9_9C9C_1E572976D134_.wvu.Rows" sId="1"/>
    <undo index="65535" exp="area" ref3D="1" dr="$A$793:$XFD$812" dn="Z_1CA6CCC9_64EF_4CA9_9C9C_1E572976D134_.wvu.Rows" sId="1"/>
    <undo index="65535" exp="area" ref3D="1" dr="$A$741:$XFD$790" dn="Z_1CA6CCC9_64EF_4CA9_9C9C_1E572976D134_.wvu.Rows" sId="1"/>
    <undo index="65535" exp="area" ref3D="1" dr="$A$723:$XFD$739" dn="Z_1CA6CCC9_64EF_4CA9_9C9C_1E572976D134_.wvu.Rows" sId="1"/>
    <undo index="65535" exp="area" ref3D="1" dr="$A$700:$XFD$721" dn="Z_1CA6CCC9_64EF_4CA9_9C9C_1E572976D134_.wvu.Rows" sId="1"/>
    <undo index="65535" exp="area" ref3D="1" dr="$A$635:$XFD$698" dn="Z_1CA6CCC9_64EF_4CA9_9C9C_1E572976D134_.wvu.Rows" sId="1"/>
    <undo index="65535" exp="area" ref3D="1" dr="$A$613:$XFD$633" dn="Z_1CA6CCC9_64EF_4CA9_9C9C_1E572976D134_.wvu.Rows" sId="1"/>
    <undo index="65535" exp="area" ref3D="1" dr="$A$606:$XFD$610" dn="Z_1CA6CCC9_64EF_4CA9_9C9C_1E572976D134_.wvu.Rows" sId="1"/>
    <undo index="65535" exp="area" ref3D="1" dr="$A$584:$XFD$603" dn="Z_1CA6CCC9_64EF_4CA9_9C9C_1E572976D134_.wvu.Rows" sId="1"/>
    <undo index="65535" exp="area" ref3D="1" dr="$A$498:$XFD$582" dn="Z_1CA6CCC9_64EF_4CA9_9C9C_1E572976D134_.wvu.Rows" sId="1"/>
    <undo index="65535" exp="area" ref3D="1" dr="$A$348:$XFD$496" dn="Z_1CA6CCC9_64EF_4CA9_9C9C_1E572976D134_.wvu.Rows" sId="1"/>
    <undo index="65535" exp="area" ref3D="1" dr="$A$311:$XFD$346" dn="Z_1CA6CCC9_64EF_4CA9_9C9C_1E572976D134_.wvu.Rows" sId="1"/>
    <undo index="65535" exp="area" ref3D="1" dr="$A$284:$XFD$308" dn="Z_1CA6CCC9_64EF_4CA9_9C9C_1E572976D134_.wvu.Rows" sId="1"/>
    <undo index="65535" exp="area" ref3D="1" dr="$A$172:$XFD$282" dn="Z_1CA6CCC9_64EF_4CA9_9C9C_1E572976D134_.wvu.Rows" sId="1"/>
  </rrc>
  <rfmt sheetId="1" sqref="A169:G171" start="0" length="2147483647">
    <dxf>
      <font>
        <color rgb="FFFF0000"/>
      </font>
    </dxf>
  </rfmt>
  <rrc rId="2414" sId="1" ref="A159:XFD162" action="insertRow"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9:$XFD$583" dn="Z_1CA6CCC9_64EF_4CA9_9C9C_1E572976D134_.wvu.Rows" sId="1"/>
    <undo index="65535" exp="area" ref3D="1" dr="$A$349:$XFD$497" dn="Z_1CA6CCC9_64EF_4CA9_9C9C_1E572976D134_.wvu.Rows" sId="1"/>
    <undo index="65535" exp="area" ref3D="1" dr="$A$312:$XFD$347" dn="Z_1CA6CCC9_64EF_4CA9_9C9C_1E572976D134_.wvu.Rows" sId="1"/>
    <undo index="65535" exp="area" ref3D="1" dr="$A$285:$XFD$309" dn="Z_1CA6CCC9_64EF_4CA9_9C9C_1E572976D134_.wvu.Rows" sId="1"/>
    <undo index="65535" exp="area" ref3D="1" dr="$A$173:$XFD$283" dn="Z_1CA6CCC9_64EF_4CA9_9C9C_1E572976D134_.wvu.Rows" sId="1"/>
    <undo index="65535" exp="area" ref3D="1" dr="$A$158:$XFD$168" dn="Z_1CA6CCC9_64EF_4CA9_9C9C_1E572976D134_.wvu.Rows" sId="1"/>
  </rrc>
  <rm rId="2415" sheetId="1" source="A174:G175" destination="A161:G162" sourceSheetId="1">
    <rfmt sheetId="1" s="1" sqref="A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161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161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D161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E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F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G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A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162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162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D16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E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F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G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cc rId="2416" sId="1">
    <oc r="C161" t="inlineStr">
      <is>
        <t>02 2 01 61051</t>
      </is>
    </oc>
    <nc r="C161" t="inlineStr">
      <is>
        <t>02 2 02 61051</t>
      </is>
    </nc>
  </rcc>
  <rcc rId="2417" sId="1">
    <oc r="C162" t="inlineStr">
      <is>
        <t>02 2 01 61051</t>
      </is>
    </oc>
    <nc r="C162" t="inlineStr">
      <is>
        <t>02 2 02 61051</t>
      </is>
    </nc>
  </rcc>
  <rcc rId="2418" sId="1">
    <oc r="E164">
      <f>E165+E167+E169+E171+E161</f>
    </oc>
    <nc r="E164">
      <f>E165+E167+E169+E171</f>
    </nc>
  </rcc>
  <rcc rId="2419" sId="1">
    <oc r="F164">
      <f>F165+F167+F169+F171+F161</f>
    </oc>
    <nc r="F164">
      <f>F165+F167+F169+F171</f>
    </nc>
  </rcc>
  <rcc rId="2420" sId="1">
    <oc r="G164">
      <f>G165+G167+G169+G171+G161</f>
    </oc>
    <nc r="G164">
      <f>G165+G167+G169+G171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$13:$15,рпр!$17:$28,рпр!$30:$46,рпр!$48:$52,рпр!$54:$58,рпр!$60:$62,рпр!$64:$68,рпр!$70:$123,рпр!$125:$145,рпр!$148:$156,рпр!$177:$287,рпр!$289:$313,рпр!$316:$351,рпр!$353:$501,рпр!$503:$587,рпр!$589:$608,рпр!$611:$615,рпр!$618:$638,рпр!$640:$703,рпр!$705:$726,рпр!$728:$744,рпр!$746:$795,рпр!$798:$817,рпр!$819:$841,рпр!$844:$846,рпр!$848:$861,рпр!$863:$892,рпр!$895:$899,рпр!$901:$922,рпр!$924:$944,рпр!$947:$949,рпр!$952:$954</formula>
    <oldFormula>рпр!$12:$123</oldFormula>
  </rdn>
  <rdn rId="0" localSheetId="1" customView="1" name="Z_2A135292_D5EB_4A8D_A93E_D0B24F2543E0_.wvu.FilterData" hidden="1" oldHidden="1">
    <formula>рпр!$B$1:$B$972</formula>
    <oldFormula>рпр!$C$1:$C$972</oldFormula>
  </rdn>
  <rcv guid="{2A135292-D5EB-4A8D-A93E-D0B24F2543E0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4" sId="1" odxf="1" s="1" dxf="1">
    <nc r="A159" t="inlineStr">
      <is>
        <t>Муниципальные проекты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5" sId="1" odxf="1" s="1" dxf="1">
    <nc r="A160" t="inlineStr">
      <is>
        <t>Муниципальный проект города Благовещенска "Развитие пассажирского транспорта в городе Благовещенске"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horizontal="left"/>
    </ndxf>
  </rcc>
  <rcc rId="2426" sId="1" odxf="1" s="1" dxf="1">
    <nc r="B159" t="inlineStr">
      <is>
        <t>0408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7" sId="1" odxf="1" s="1" dxf="1">
    <nc r="C159" t="inlineStr">
      <is>
        <t>02 2 00 00000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8" sId="1" odxf="1" s="1" dxf="1">
    <nc r="B160" t="inlineStr">
      <is>
        <t>0408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9" sId="1" odxf="1" s="1" dxf="1">
    <nc r="C160" t="inlineStr">
      <is>
        <t>02 2 02 00000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A159:XFD160" start="0" length="2147483647">
    <dxf>
      <font>
        <color rgb="FFFF0000"/>
      </font>
    </dxf>
  </rfmt>
  <rcc rId="2430" sId="1">
    <nc r="E159">
      <f>E160</f>
    </nc>
  </rcc>
  <rcc rId="2431" sId="1">
    <nc r="E160">
      <f>E161</f>
    </nc>
  </rcc>
  <rcc rId="2432" sId="1">
    <nc r="F159">
      <f>F160</f>
    </nc>
  </rcc>
  <rcc rId="2433" sId="1">
    <nc r="G159">
      <f>G160</f>
    </nc>
  </rcc>
  <rcc rId="2434" sId="1">
    <nc r="F160">
      <f>F161</f>
    </nc>
  </rcc>
  <rcc rId="2435" sId="1">
    <nc r="G160">
      <f>G161</f>
    </nc>
  </rcc>
  <rcc rId="2436" sId="1">
    <oc r="E158">
      <f>E163</f>
    </oc>
    <nc r="E158">
      <f>E163+E159</f>
    </nc>
  </rcc>
  <rcc rId="2437" sId="1">
    <oc r="F158">
      <f>F163</f>
    </oc>
    <nc r="F158">
      <f>F163+F159</f>
    </nc>
  </rcc>
  <rcc rId="2438" sId="1">
    <oc r="G158">
      <f>G163</f>
    </oc>
    <nc r="G158">
      <f>G163+G159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63:G263">
    <dxf>
      <fill>
        <patternFill patternType="solid">
          <bgColor rgb="FFFFFF00"/>
        </patternFill>
      </fill>
    </dxf>
  </rfmt>
  <rfmt sheetId="1" sqref="C265:G266">
    <dxf>
      <fill>
        <patternFill patternType="solid">
          <bgColor rgb="FFFFFF00"/>
        </patternFill>
      </fill>
    </dxf>
  </rfmt>
  <rfmt sheetId="1" sqref="G263" start="0" length="2147483647">
    <dxf>
      <font>
        <color rgb="FFFF0000"/>
      </font>
    </dxf>
  </rfmt>
  <rfmt sheetId="1" sqref="G265:G266" start="0" length="2147483647">
    <dxf>
      <font>
        <color rgb="FFFF0000"/>
      </font>
    </dxf>
  </rfmt>
  <rfmt sheetId="1" sqref="G268" start="0" length="2147483647">
    <dxf>
      <font>
        <color rgb="FFFF0000"/>
      </font>
    </dxf>
  </rfmt>
  <rfmt sheetId="1" sqref="E279:E280" start="0" length="2147483647">
    <dxf>
      <font>
        <color rgb="FFFF0000"/>
      </font>
    </dxf>
  </rfmt>
  <rfmt sheetId="1" sqref="G392:G394" start="0" length="2147483647">
    <dxf>
      <font>
        <color rgb="FFFF0000"/>
      </font>
    </dxf>
  </rfmt>
  <rfmt sheetId="1" sqref="E790:E791" start="0" length="2147483647">
    <dxf>
      <font>
        <color rgb="FFFF0000"/>
      </font>
    </dxf>
  </rfmt>
  <rcc rId="2439" sId="1" numFmtId="4">
    <nc r="F841">
      <v>0</v>
    </nc>
  </rcc>
  <rcc rId="2440" sId="1" numFmtId="4">
    <nc r="G841">
      <v>0</v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$13:$15,рпр!$17:$28,рпр!$30:$46,рпр!$48:$52,рпр!$54:$58,рпр!$60:$62,рпр!$64:$68,рпр!$70:$123,рпр!$125:$145,рпр!$148:$156,рпр!$158:$175,рпр!$177:$287,рпр!$289:$313,рпр!$316:$351,рпр!$353:$501,рпр!$503:$587,рпр!$589:$608,рпр!$611:$615,рпр!$618:$638,рпр!$640:$703,рпр!$705:$726,рпр!$728:$744,рпр!$798:$817,рпр!$844:$846,рпр!$848:$861,рпр!$863:$892,рпр!$895:$899,рпр!$901:$922,рпр!$924:$944,рпр!$947:$949,рпр!$952:$954</formula>
    <oldFormula>рпр!$13:$15,рпр!$17:$28,рпр!$30:$46,рпр!$48:$52,рпр!$54:$58,рпр!$60:$62,рпр!$64:$68,рпр!$70:$123,рпр!$125:$145,рпр!$148:$156,рпр!$177:$287,рпр!$289:$313,рпр!$316:$351,рпр!$353:$501,рпр!$503:$587,рпр!$589:$608,рпр!$611:$615,рпр!$618:$638,рпр!$640:$703,рпр!$705:$726,рпр!$728:$744,рпр!$746:$795,рпр!$798:$817,рпр!$819:$841,рпр!$844:$846,рпр!$848:$861,рпр!$863:$892,рпр!$895:$899,рпр!$901:$922,рпр!$924:$944,рпр!$947:$949,рпр!$952:$954</oldFormula>
  </rdn>
  <rdn rId="0" localSheetId="1" customView="1" name="Z_2A135292_D5EB_4A8D_A93E_D0B24F2543E0_.wvu.FilterData" hidden="1" oldHidden="1">
    <formula>рпр!$B$1:$B$972</formula>
    <oldFormula>рпр!$B$1:$B$972</oldFormula>
  </rdn>
  <rcv guid="{2A135292-D5EB-4A8D-A93E-D0B24F2543E0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73:XFD173" action="deleteRow">
    <undo index="65535" exp="area" ref3D="1" dr="$A$952:$XFD$954" dn="Z_1CA6CCC9_64EF_4CA9_9C9C_1E572976D134_.wvu.Rows" sId="1"/>
    <undo index="65535" exp="area" ref3D="1" dr="$A$947:$XFD$949" dn="Z_1CA6CCC9_64EF_4CA9_9C9C_1E572976D134_.wvu.Rows" sId="1"/>
    <undo index="65535" exp="area" ref3D="1" dr="$A$924:$XFD$944" dn="Z_1CA6CCC9_64EF_4CA9_9C9C_1E572976D134_.wvu.Rows" sId="1"/>
    <undo index="65535" exp="area" ref3D="1" dr="$A$901:$XFD$922" dn="Z_1CA6CCC9_64EF_4CA9_9C9C_1E572976D134_.wvu.Rows" sId="1"/>
    <undo index="65535" exp="area" ref3D="1" dr="$A$895:$XFD$899" dn="Z_1CA6CCC9_64EF_4CA9_9C9C_1E572976D134_.wvu.Rows" sId="1"/>
    <undo index="65535" exp="area" ref3D="1" dr="$A$863:$XFD$892" dn="Z_1CA6CCC9_64EF_4CA9_9C9C_1E572976D134_.wvu.Rows" sId="1"/>
    <undo index="65535" exp="area" ref3D="1" dr="$A$848:$XFD$861" dn="Z_1CA6CCC9_64EF_4CA9_9C9C_1E572976D134_.wvu.Rows" sId="1"/>
    <undo index="65535" exp="area" ref3D="1" dr="$A$844:$XFD$846" dn="Z_1CA6CCC9_64EF_4CA9_9C9C_1E572976D134_.wvu.Rows" sId="1"/>
    <undo index="65535" exp="area" ref3D="1" dr="$A$819:$XFD$840" dn="Z_1CA6CCC9_64EF_4CA9_9C9C_1E572976D134_.wvu.Rows" sId="1"/>
    <undo index="65535" exp="area" ref3D="1" dr="$A$798:$XFD$817" dn="Z_1CA6CCC9_64EF_4CA9_9C9C_1E572976D134_.wvu.Rows" sId="1"/>
    <undo index="65535" exp="area" ref3D="1" dr="$A$746:$XFD$795" dn="Z_1CA6CCC9_64EF_4CA9_9C9C_1E572976D134_.wvu.Rows" sId="1"/>
    <undo index="65535" exp="area" ref3D="1" dr="$A$728:$XFD$744" dn="Z_1CA6CCC9_64EF_4CA9_9C9C_1E572976D134_.wvu.Rows" sId="1"/>
    <undo index="65535" exp="area" ref3D="1" dr="$A$705:$XFD$726" dn="Z_1CA6CCC9_64EF_4CA9_9C9C_1E572976D134_.wvu.Rows" sId="1"/>
    <undo index="65535" exp="area" ref3D="1" dr="$A$640:$XFD$703" dn="Z_1CA6CCC9_64EF_4CA9_9C9C_1E572976D134_.wvu.Rows" sId="1"/>
    <undo index="65535" exp="area" ref3D="1" dr="$A$618:$XFD$638" dn="Z_1CA6CCC9_64EF_4CA9_9C9C_1E572976D134_.wvu.Rows" sId="1"/>
    <undo index="65535" exp="area" ref3D="1" dr="$A$611:$XFD$615" dn="Z_1CA6CCC9_64EF_4CA9_9C9C_1E572976D134_.wvu.Rows" sId="1"/>
    <undo index="65535" exp="area" ref3D="1" dr="$A$589:$XFD$608" dn="Z_1CA6CCC9_64EF_4CA9_9C9C_1E572976D134_.wvu.Rows" sId="1"/>
    <undo index="65535" exp="area" ref3D="1" dr="$A$503:$XFD$587" dn="Z_1CA6CCC9_64EF_4CA9_9C9C_1E572976D134_.wvu.Rows" sId="1"/>
    <undo index="65535" exp="area" ref3D="1" dr="$A$353:$XFD$501" dn="Z_1CA6CCC9_64EF_4CA9_9C9C_1E572976D134_.wvu.Rows" sId="1"/>
    <undo index="65535" exp="area" ref3D="1" dr="$A$316:$XFD$351" dn="Z_1CA6CCC9_64EF_4CA9_9C9C_1E572976D134_.wvu.Rows" sId="1"/>
    <undo index="65535" exp="area" ref3D="1" dr="$A$289:$XFD$313" dn="Z_1CA6CCC9_64EF_4CA9_9C9C_1E572976D134_.wvu.Rows" sId="1"/>
    <undo index="65535" exp="area" ref3D="1" dr="$A$177:$XFD$287" dn="Z_1CA6CCC9_64EF_4CA9_9C9C_1E572976D134_.wvu.Rows" sId="1"/>
    <undo index="65535" exp="area" ref3D="1" dr="$A$952:$XFD$954" dn="Z_2A135292_D5EB_4A8D_A93E_D0B24F2543E0_.wvu.Rows" sId="1"/>
    <undo index="65535" exp="area" ref3D="1" dr="$A$947:$XFD$949" dn="Z_2A135292_D5EB_4A8D_A93E_D0B24F2543E0_.wvu.Rows" sId="1"/>
    <undo index="65535" exp="area" ref3D="1" dr="$A$924:$XFD$944" dn="Z_2A135292_D5EB_4A8D_A93E_D0B24F2543E0_.wvu.Rows" sId="1"/>
    <undo index="65535" exp="area" ref3D="1" dr="$A$901:$XFD$922" dn="Z_2A135292_D5EB_4A8D_A93E_D0B24F2543E0_.wvu.Rows" sId="1"/>
    <undo index="65535" exp="area" ref3D="1" dr="$A$895:$XFD$899" dn="Z_2A135292_D5EB_4A8D_A93E_D0B24F2543E0_.wvu.Rows" sId="1"/>
    <undo index="65535" exp="area" ref3D="1" dr="$A$863:$XFD$892" dn="Z_2A135292_D5EB_4A8D_A93E_D0B24F2543E0_.wvu.Rows" sId="1"/>
    <undo index="65535" exp="area" ref3D="1" dr="$A$848:$XFD$861" dn="Z_2A135292_D5EB_4A8D_A93E_D0B24F2543E0_.wvu.Rows" sId="1"/>
    <undo index="65535" exp="area" ref3D="1" dr="$A$844:$XFD$846" dn="Z_2A135292_D5EB_4A8D_A93E_D0B24F2543E0_.wvu.Rows" sId="1"/>
    <undo index="65535" exp="area" ref3D="1" dr="$A$798:$XFD$817" dn="Z_2A135292_D5EB_4A8D_A93E_D0B24F2543E0_.wvu.Rows" sId="1"/>
    <undo index="65535" exp="area" ref3D="1" dr="$A$728:$XFD$744" dn="Z_2A135292_D5EB_4A8D_A93E_D0B24F2543E0_.wvu.Rows" sId="1"/>
    <undo index="65535" exp="area" ref3D="1" dr="$A$705:$XFD$726" dn="Z_2A135292_D5EB_4A8D_A93E_D0B24F2543E0_.wvu.Rows" sId="1"/>
    <undo index="65535" exp="area" ref3D="1" dr="$A$640:$XFD$703" dn="Z_2A135292_D5EB_4A8D_A93E_D0B24F2543E0_.wvu.Rows" sId="1"/>
    <undo index="65535" exp="area" ref3D="1" dr="$A$618:$XFD$638" dn="Z_2A135292_D5EB_4A8D_A93E_D0B24F2543E0_.wvu.Rows" sId="1"/>
    <undo index="65535" exp="area" ref3D="1" dr="$A$611:$XFD$615" dn="Z_2A135292_D5EB_4A8D_A93E_D0B24F2543E0_.wvu.Rows" sId="1"/>
    <undo index="65535" exp="area" ref3D="1" dr="$A$589:$XFD$608" dn="Z_2A135292_D5EB_4A8D_A93E_D0B24F2543E0_.wvu.Rows" sId="1"/>
    <undo index="65535" exp="area" ref3D="1" dr="$A$503:$XFD$587" dn="Z_2A135292_D5EB_4A8D_A93E_D0B24F2543E0_.wvu.Rows" sId="1"/>
    <undo index="65535" exp="area" ref3D="1" dr="$A$353:$XFD$501" dn="Z_2A135292_D5EB_4A8D_A93E_D0B24F2543E0_.wvu.Rows" sId="1"/>
    <undo index="65535" exp="area" ref3D="1" dr="$A$316:$XFD$351" dn="Z_2A135292_D5EB_4A8D_A93E_D0B24F2543E0_.wvu.Rows" sId="1"/>
    <undo index="65535" exp="area" ref3D="1" dr="$A$289:$XFD$313" dn="Z_2A135292_D5EB_4A8D_A93E_D0B24F2543E0_.wvu.Rows" sId="1"/>
    <undo index="65535" exp="area" ref3D="1" dr="$A$177:$XFD$287" dn="Z_2A135292_D5EB_4A8D_A93E_D0B24F2543E0_.wvu.Rows" sId="1"/>
    <undo index="65535" exp="area" ref3D="1" dr="$A$158:$XFD$175" dn="Z_2A135292_D5EB_4A8D_A93E_D0B24F2543E0_.wvu.Rows" sId="1"/>
    <rfmt sheetId="1" xfDxf="1" sqref="A173:XFD173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="1" sqref="A173" start="0" length="0">
      <dxf>
        <font>
          <sz val="12"/>
          <color rgb="FFFF0000"/>
          <name val="Times New Roman"/>
          <family val="1"/>
          <scheme val="none"/>
        </font>
        <alignment horizontal="general" wrapText="1"/>
      </dxf>
    </rfmt>
    <rfmt sheetId="1" s="1" sqref="B173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fmt sheetId="1" s="1" sqref="C173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fmt sheetId="1" s="1" sqref="D173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fmt sheetId="1" s="1" sqref="E173" start="0" length="0">
      <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dxf>
    </rfmt>
    <rfmt sheetId="1" s="1" sqref="F173" start="0" length="0">
      <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dxf>
    </rfmt>
    <rfmt sheetId="1" s="1" sqref="G173" start="0" length="0">
      <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dxf>
    </rfmt>
  </rrc>
  <rrc rId="2445" sId="1" ref="A173:XFD173" action="deleteRow">
    <undo index="65535" exp="area" ref3D="1" dr="$A$951:$XFD$953" dn="Z_1CA6CCC9_64EF_4CA9_9C9C_1E572976D134_.wvu.Rows" sId="1"/>
    <undo index="65535" exp="area" ref3D="1" dr="$A$946:$XFD$948" dn="Z_1CA6CCC9_64EF_4CA9_9C9C_1E572976D134_.wvu.Rows" sId="1"/>
    <undo index="65535" exp="area" ref3D="1" dr="$A$923:$XFD$943" dn="Z_1CA6CCC9_64EF_4CA9_9C9C_1E572976D134_.wvu.Rows" sId="1"/>
    <undo index="65535" exp="area" ref3D="1" dr="$A$900:$XFD$921" dn="Z_1CA6CCC9_64EF_4CA9_9C9C_1E572976D134_.wvu.Rows" sId="1"/>
    <undo index="65535" exp="area" ref3D="1" dr="$A$894:$XFD$898" dn="Z_1CA6CCC9_64EF_4CA9_9C9C_1E572976D134_.wvu.Rows" sId="1"/>
    <undo index="65535" exp="area" ref3D="1" dr="$A$862:$XFD$891" dn="Z_1CA6CCC9_64EF_4CA9_9C9C_1E572976D134_.wvu.Rows" sId="1"/>
    <undo index="65535" exp="area" ref3D="1" dr="$A$847:$XFD$860" dn="Z_1CA6CCC9_64EF_4CA9_9C9C_1E572976D134_.wvu.Rows" sId="1"/>
    <undo index="65535" exp="area" ref3D="1" dr="$A$843:$XFD$845" dn="Z_1CA6CCC9_64EF_4CA9_9C9C_1E572976D134_.wvu.Rows" sId="1"/>
    <undo index="65535" exp="area" ref3D="1" dr="$A$818:$XFD$839" dn="Z_1CA6CCC9_64EF_4CA9_9C9C_1E572976D134_.wvu.Rows" sId="1"/>
    <undo index="65535" exp="area" ref3D="1" dr="$A$797:$XFD$816" dn="Z_1CA6CCC9_64EF_4CA9_9C9C_1E572976D134_.wvu.Rows" sId="1"/>
    <undo index="65535" exp="area" ref3D="1" dr="$A$745:$XFD$794" dn="Z_1CA6CCC9_64EF_4CA9_9C9C_1E572976D134_.wvu.Rows" sId="1"/>
    <undo index="65535" exp="area" ref3D="1" dr="$A$727:$XFD$743" dn="Z_1CA6CCC9_64EF_4CA9_9C9C_1E572976D134_.wvu.Rows" sId="1"/>
    <undo index="65535" exp="area" ref3D="1" dr="$A$704:$XFD$725" dn="Z_1CA6CCC9_64EF_4CA9_9C9C_1E572976D134_.wvu.Rows" sId="1"/>
    <undo index="65535" exp="area" ref3D="1" dr="$A$639:$XFD$702" dn="Z_1CA6CCC9_64EF_4CA9_9C9C_1E572976D134_.wvu.Rows" sId="1"/>
    <undo index="65535" exp="area" ref3D="1" dr="$A$617:$XFD$637" dn="Z_1CA6CCC9_64EF_4CA9_9C9C_1E572976D134_.wvu.Rows" sId="1"/>
    <undo index="65535" exp="area" ref3D="1" dr="$A$610:$XFD$614" dn="Z_1CA6CCC9_64EF_4CA9_9C9C_1E572976D134_.wvu.Rows" sId="1"/>
    <undo index="65535" exp="area" ref3D="1" dr="$A$588:$XFD$607" dn="Z_1CA6CCC9_64EF_4CA9_9C9C_1E572976D134_.wvu.Rows" sId="1"/>
    <undo index="65535" exp="area" ref3D="1" dr="$A$502:$XFD$586" dn="Z_1CA6CCC9_64EF_4CA9_9C9C_1E572976D134_.wvu.Rows" sId="1"/>
    <undo index="65535" exp="area" ref3D="1" dr="$A$352:$XFD$500" dn="Z_1CA6CCC9_64EF_4CA9_9C9C_1E572976D134_.wvu.Rows" sId="1"/>
    <undo index="65535" exp="area" ref3D="1" dr="$A$315:$XFD$350" dn="Z_1CA6CCC9_64EF_4CA9_9C9C_1E572976D134_.wvu.Rows" sId="1"/>
    <undo index="65535" exp="area" ref3D="1" dr="$A$288:$XFD$312" dn="Z_1CA6CCC9_64EF_4CA9_9C9C_1E572976D134_.wvu.Rows" sId="1"/>
    <undo index="65535" exp="area" ref3D="1" dr="$A$176:$XFD$286" dn="Z_1CA6CCC9_64EF_4CA9_9C9C_1E572976D134_.wvu.Rows" sId="1"/>
    <undo index="65535" exp="area" ref3D="1" dr="$A$951:$XFD$953" dn="Z_2A135292_D5EB_4A8D_A93E_D0B24F2543E0_.wvu.Rows" sId="1"/>
    <undo index="65535" exp="area" ref3D="1" dr="$A$946:$XFD$948" dn="Z_2A135292_D5EB_4A8D_A93E_D0B24F2543E0_.wvu.Rows" sId="1"/>
    <undo index="65535" exp="area" ref3D="1" dr="$A$923:$XFD$943" dn="Z_2A135292_D5EB_4A8D_A93E_D0B24F2543E0_.wvu.Rows" sId="1"/>
    <undo index="65535" exp="area" ref3D="1" dr="$A$900:$XFD$921" dn="Z_2A135292_D5EB_4A8D_A93E_D0B24F2543E0_.wvu.Rows" sId="1"/>
    <undo index="65535" exp="area" ref3D="1" dr="$A$894:$XFD$898" dn="Z_2A135292_D5EB_4A8D_A93E_D0B24F2543E0_.wvu.Rows" sId="1"/>
    <undo index="65535" exp="area" ref3D="1" dr="$A$862:$XFD$891" dn="Z_2A135292_D5EB_4A8D_A93E_D0B24F2543E0_.wvu.Rows" sId="1"/>
    <undo index="65535" exp="area" ref3D="1" dr="$A$847:$XFD$860" dn="Z_2A135292_D5EB_4A8D_A93E_D0B24F2543E0_.wvu.Rows" sId="1"/>
    <undo index="65535" exp="area" ref3D="1" dr="$A$843:$XFD$845" dn="Z_2A135292_D5EB_4A8D_A93E_D0B24F2543E0_.wvu.Rows" sId="1"/>
    <undo index="65535" exp="area" ref3D="1" dr="$A$797:$XFD$816" dn="Z_2A135292_D5EB_4A8D_A93E_D0B24F2543E0_.wvu.Rows" sId="1"/>
    <undo index="65535" exp="area" ref3D="1" dr="$A$727:$XFD$743" dn="Z_2A135292_D5EB_4A8D_A93E_D0B24F2543E0_.wvu.Rows" sId="1"/>
    <undo index="65535" exp="area" ref3D="1" dr="$A$704:$XFD$725" dn="Z_2A135292_D5EB_4A8D_A93E_D0B24F2543E0_.wvu.Rows" sId="1"/>
    <undo index="65535" exp="area" ref3D="1" dr="$A$639:$XFD$702" dn="Z_2A135292_D5EB_4A8D_A93E_D0B24F2543E0_.wvu.Rows" sId="1"/>
    <undo index="65535" exp="area" ref3D="1" dr="$A$617:$XFD$637" dn="Z_2A135292_D5EB_4A8D_A93E_D0B24F2543E0_.wvu.Rows" sId="1"/>
    <undo index="65535" exp="area" ref3D="1" dr="$A$610:$XFD$614" dn="Z_2A135292_D5EB_4A8D_A93E_D0B24F2543E0_.wvu.Rows" sId="1"/>
    <undo index="65535" exp="area" ref3D="1" dr="$A$588:$XFD$607" dn="Z_2A135292_D5EB_4A8D_A93E_D0B24F2543E0_.wvu.Rows" sId="1"/>
    <undo index="65535" exp="area" ref3D="1" dr="$A$502:$XFD$586" dn="Z_2A135292_D5EB_4A8D_A93E_D0B24F2543E0_.wvu.Rows" sId="1"/>
    <undo index="65535" exp="area" ref3D="1" dr="$A$352:$XFD$500" dn="Z_2A135292_D5EB_4A8D_A93E_D0B24F2543E0_.wvu.Rows" sId="1"/>
    <undo index="65535" exp="area" ref3D="1" dr="$A$315:$XFD$350" dn="Z_2A135292_D5EB_4A8D_A93E_D0B24F2543E0_.wvu.Rows" sId="1"/>
    <undo index="65535" exp="area" ref3D="1" dr="$A$288:$XFD$312" dn="Z_2A135292_D5EB_4A8D_A93E_D0B24F2543E0_.wvu.Rows" sId="1"/>
    <undo index="65535" exp="area" ref3D="1" dr="$A$176:$XFD$286" dn="Z_2A135292_D5EB_4A8D_A93E_D0B24F2543E0_.wvu.Rows" sId="1"/>
    <undo index="65535" exp="area" ref3D="1" dr="$A$158:$XFD$174" dn="Z_2A135292_D5EB_4A8D_A93E_D0B24F2543E0_.wvu.Rows" sId="1"/>
    <rfmt sheetId="1" xfDxf="1" sqref="A173:XFD173" start="0" length="0">
      <dxf>
        <font>
          <color auto="1"/>
          <name val="Times New Roman"/>
          <family val="1"/>
          <scheme val="none"/>
        </font>
        <alignment horizontal="left" vertical="top"/>
      </dxf>
    </rfmt>
  </rrc>
  <rrc rId="2446" sId="1" ref="A173:XFD173" action="deleteRow">
    <undo index="65535" exp="area" ref3D="1" dr="$A$950:$XFD$952" dn="Z_1CA6CCC9_64EF_4CA9_9C9C_1E572976D134_.wvu.Rows" sId="1"/>
    <undo index="65535" exp="area" ref3D="1" dr="$A$945:$XFD$947" dn="Z_1CA6CCC9_64EF_4CA9_9C9C_1E572976D134_.wvu.Rows" sId="1"/>
    <undo index="65535" exp="area" ref3D="1" dr="$A$922:$XFD$942" dn="Z_1CA6CCC9_64EF_4CA9_9C9C_1E572976D134_.wvu.Rows" sId="1"/>
    <undo index="65535" exp="area" ref3D="1" dr="$A$899:$XFD$920" dn="Z_1CA6CCC9_64EF_4CA9_9C9C_1E572976D134_.wvu.Rows" sId="1"/>
    <undo index="65535" exp="area" ref3D="1" dr="$A$893:$XFD$897" dn="Z_1CA6CCC9_64EF_4CA9_9C9C_1E572976D134_.wvu.Rows" sId="1"/>
    <undo index="65535" exp="area" ref3D="1" dr="$A$861:$XFD$890" dn="Z_1CA6CCC9_64EF_4CA9_9C9C_1E572976D134_.wvu.Rows" sId="1"/>
    <undo index="65535" exp="area" ref3D="1" dr="$A$846:$XFD$859" dn="Z_1CA6CCC9_64EF_4CA9_9C9C_1E572976D134_.wvu.Rows" sId="1"/>
    <undo index="65535" exp="area" ref3D="1" dr="$A$842:$XFD$844" dn="Z_1CA6CCC9_64EF_4CA9_9C9C_1E572976D134_.wvu.Rows" sId="1"/>
    <undo index="65535" exp="area" ref3D="1" dr="$A$817:$XFD$838" dn="Z_1CA6CCC9_64EF_4CA9_9C9C_1E572976D134_.wvu.Rows" sId="1"/>
    <undo index="65535" exp="area" ref3D="1" dr="$A$796:$XFD$815" dn="Z_1CA6CCC9_64EF_4CA9_9C9C_1E572976D134_.wvu.Rows" sId="1"/>
    <undo index="65535" exp="area" ref3D="1" dr="$A$744:$XFD$793" dn="Z_1CA6CCC9_64EF_4CA9_9C9C_1E572976D134_.wvu.Rows" sId="1"/>
    <undo index="65535" exp="area" ref3D="1" dr="$A$726:$XFD$742" dn="Z_1CA6CCC9_64EF_4CA9_9C9C_1E572976D134_.wvu.Rows" sId="1"/>
    <undo index="65535" exp="area" ref3D="1" dr="$A$703:$XFD$724" dn="Z_1CA6CCC9_64EF_4CA9_9C9C_1E572976D134_.wvu.Rows" sId="1"/>
    <undo index="65535" exp="area" ref3D="1" dr="$A$638:$XFD$701" dn="Z_1CA6CCC9_64EF_4CA9_9C9C_1E572976D134_.wvu.Rows" sId="1"/>
    <undo index="65535" exp="area" ref3D="1" dr="$A$616:$XFD$636" dn="Z_1CA6CCC9_64EF_4CA9_9C9C_1E572976D134_.wvu.Rows" sId="1"/>
    <undo index="65535" exp="area" ref3D="1" dr="$A$609:$XFD$613" dn="Z_1CA6CCC9_64EF_4CA9_9C9C_1E572976D134_.wvu.Rows" sId="1"/>
    <undo index="65535" exp="area" ref3D="1" dr="$A$587:$XFD$606" dn="Z_1CA6CCC9_64EF_4CA9_9C9C_1E572976D134_.wvu.Rows" sId="1"/>
    <undo index="65535" exp="area" ref3D="1" dr="$A$501:$XFD$585" dn="Z_1CA6CCC9_64EF_4CA9_9C9C_1E572976D134_.wvu.Rows" sId="1"/>
    <undo index="65535" exp="area" ref3D="1" dr="$A$351:$XFD$499" dn="Z_1CA6CCC9_64EF_4CA9_9C9C_1E572976D134_.wvu.Rows" sId="1"/>
    <undo index="65535" exp="area" ref3D="1" dr="$A$314:$XFD$349" dn="Z_1CA6CCC9_64EF_4CA9_9C9C_1E572976D134_.wvu.Rows" sId="1"/>
    <undo index="65535" exp="area" ref3D="1" dr="$A$287:$XFD$311" dn="Z_1CA6CCC9_64EF_4CA9_9C9C_1E572976D134_.wvu.Rows" sId="1"/>
    <undo index="65535" exp="area" ref3D="1" dr="$A$175:$XFD$285" dn="Z_1CA6CCC9_64EF_4CA9_9C9C_1E572976D134_.wvu.Rows" sId="1"/>
    <undo index="65535" exp="area" ref3D="1" dr="$A$950:$XFD$952" dn="Z_2A135292_D5EB_4A8D_A93E_D0B24F2543E0_.wvu.Rows" sId="1"/>
    <undo index="65535" exp="area" ref3D="1" dr="$A$945:$XFD$947" dn="Z_2A135292_D5EB_4A8D_A93E_D0B24F2543E0_.wvu.Rows" sId="1"/>
    <undo index="65535" exp="area" ref3D="1" dr="$A$922:$XFD$942" dn="Z_2A135292_D5EB_4A8D_A93E_D0B24F2543E0_.wvu.Rows" sId="1"/>
    <undo index="65535" exp="area" ref3D="1" dr="$A$899:$XFD$920" dn="Z_2A135292_D5EB_4A8D_A93E_D0B24F2543E0_.wvu.Rows" sId="1"/>
    <undo index="65535" exp="area" ref3D="1" dr="$A$893:$XFD$897" dn="Z_2A135292_D5EB_4A8D_A93E_D0B24F2543E0_.wvu.Rows" sId="1"/>
    <undo index="65535" exp="area" ref3D="1" dr="$A$861:$XFD$890" dn="Z_2A135292_D5EB_4A8D_A93E_D0B24F2543E0_.wvu.Rows" sId="1"/>
    <undo index="65535" exp="area" ref3D="1" dr="$A$846:$XFD$859" dn="Z_2A135292_D5EB_4A8D_A93E_D0B24F2543E0_.wvu.Rows" sId="1"/>
    <undo index="65535" exp="area" ref3D="1" dr="$A$842:$XFD$844" dn="Z_2A135292_D5EB_4A8D_A93E_D0B24F2543E0_.wvu.Rows" sId="1"/>
    <undo index="65535" exp="area" ref3D="1" dr="$A$796:$XFD$815" dn="Z_2A135292_D5EB_4A8D_A93E_D0B24F2543E0_.wvu.Rows" sId="1"/>
    <undo index="65535" exp="area" ref3D="1" dr="$A$726:$XFD$742" dn="Z_2A135292_D5EB_4A8D_A93E_D0B24F2543E0_.wvu.Rows" sId="1"/>
    <undo index="65535" exp="area" ref3D="1" dr="$A$703:$XFD$724" dn="Z_2A135292_D5EB_4A8D_A93E_D0B24F2543E0_.wvu.Rows" sId="1"/>
    <undo index="65535" exp="area" ref3D="1" dr="$A$638:$XFD$701" dn="Z_2A135292_D5EB_4A8D_A93E_D0B24F2543E0_.wvu.Rows" sId="1"/>
    <undo index="65535" exp="area" ref3D="1" dr="$A$616:$XFD$636" dn="Z_2A135292_D5EB_4A8D_A93E_D0B24F2543E0_.wvu.Rows" sId="1"/>
    <undo index="65535" exp="area" ref3D="1" dr="$A$609:$XFD$613" dn="Z_2A135292_D5EB_4A8D_A93E_D0B24F2543E0_.wvu.Rows" sId="1"/>
    <undo index="65535" exp="area" ref3D="1" dr="$A$587:$XFD$606" dn="Z_2A135292_D5EB_4A8D_A93E_D0B24F2543E0_.wvu.Rows" sId="1"/>
    <undo index="65535" exp="area" ref3D="1" dr="$A$501:$XFD$585" dn="Z_2A135292_D5EB_4A8D_A93E_D0B24F2543E0_.wvu.Rows" sId="1"/>
    <undo index="65535" exp="area" ref3D="1" dr="$A$351:$XFD$499" dn="Z_2A135292_D5EB_4A8D_A93E_D0B24F2543E0_.wvu.Rows" sId="1"/>
    <undo index="65535" exp="area" ref3D="1" dr="$A$314:$XFD$349" dn="Z_2A135292_D5EB_4A8D_A93E_D0B24F2543E0_.wvu.Rows" sId="1"/>
    <undo index="65535" exp="area" ref3D="1" dr="$A$287:$XFD$311" dn="Z_2A135292_D5EB_4A8D_A93E_D0B24F2543E0_.wvu.Rows" sId="1"/>
    <undo index="65535" exp="area" ref3D="1" dr="$A$175:$XFD$285" dn="Z_2A135292_D5EB_4A8D_A93E_D0B24F2543E0_.wvu.Rows" sId="1"/>
    <undo index="65535" exp="area" ref3D="1" dr="$A$158:$XFD$173" dn="Z_2A135292_D5EB_4A8D_A93E_D0B24F2543E0_.wvu.Rows" sId="1"/>
    <rfmt sheetId="1" xfDxf="1" sqref="A173:XFD173" start="0" length="0">
      <dxf>
        <font>
          <color auto="1"/>
          <name val="Times New Roman"/>
          <family val="1"/>
          <scheme val="none"/>
        </font>
        <alignment horizontal="left" vertical="top"/>
      </dxf>
    </rfmt>
  </rrc>
  <rcc rId="2447" sId="1" numFmtId="4">
    <oc r="G260">
      <v>69090.7</v>
    </oc>
    <nc r="G260">
      <f>69090.7-62815.5</f>
    </nc>
  </rcc>
  <rcc rId="2448" sId="1" numFmtId="4">
    <oc r="G262">
      <v>105676.40000000001</v>
    </oc>
    <nc r="G262">
      <f>105676.4+44250.8</f>
    </nc>
  </rcc>
  <rcc rId="2449" sId="1" numFmtId="4">
    <oc r="G265">
      <v>0</v>
    </oc>
    <nc r="G265">
      <f>18564.7</f>
    </nc>
  </rcc>
  <rcc rId="2450" sId="1">
    <oc r="E275">
      <f>E277</f>
    </oc>
    <nc r="E275">
      <f>E277+E276</f>
    </nc>
  </rcc>
  <rcc rId="2451" sId="1">
    <oc r="F275">
      <f>F277+F276</f>
    </oc>
    <nc r="F275">
      <f>F277+F276</f>
    </nc>
  </rcc>
  <rcc rId="2452" sId="1">
    <oc r="G275">
      <f>G277</f>
    </oc>
    <nc r="G275">
      <f>G277+G276</f>
    </nc>
  </rcc>
  <rcc rId="2453" sId="1" numFmtId="4">
    <nc r="E276">
      <v>0</v>
    </nc>
  </rcc>
  <rcc rId="2454" sId="1" odxf="1" dxf="1" numFmtId="4">
    <nc r="G276">
      <v>81471.600000000006</v>
    </nc>
    <ndxf>
      <font>
        <sz val="12"/>
        <color rgb="FFFF0000"/>
        <name val="Times New Roman"/>
        <family val="1"/>
      </font>
    </ndxf>
  </rcc>
  <rcc rId="2455" sId="1" odxf="1" dxf="1">
    <oc r="G277">
      <v>220761.3</v>
    </oc>
    <nc r="G277">
      <f>220761.3-81471.6</f>
    </nc>
    <ndxf>
      <font>
        <sz val="12"/>
        <color rgb="FFFF0000"/>
        <name val="Times New Roman"/>
        <family val="1"/>
      </font>
    </ndxf>
  </rcc>
  <rfmt sheetId="1" sqref="E275:E277" start="0" length="2147483647">
    <dxf>
      <font>
        <color auto="1"/>
      </font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numFmtId="4">
    <oc r="G389">
      <v>588600</v>
    </oc>
    <nc r="G389">
      <v>0</v>
    </nc>
  </rcc>
  <rcc rId="2457" sId="1" xfDxf="1" s="1" dxf="1" numFmtId="4">
    <oc r="G391">
      <v>0</v>
    </oc>
    <nc r="G391">
      <v>588600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XFD1048576" start="0" length="2147483647">
    <dxf>
      <font>
        <color auto="1"/>
      </font>
    </dxf>
  </rfmt>
  <rfmt sheetId="1" sqref="A1:XFD1048576">
    <dxf>
      <fill>
        <patternFill patternType="none">
          <bgColor auto="1"/>
        </patternFill>
      </fill>
    </dxf>
  </rfmt>
  <rdn rId="0" localSheetId="1" customView="1" name="Z_2A135292_D5EB_4A8D_A93E_D0B24F2543E0_.wvu.Rows" hidden="1" oldHidden="1">
    <oldFormula>рпр!$13:$15,рпр!$17:$28,рпр!$30:$46,рпр!$48:$52,рпр!$54:$58,рпр!$60:$62,рпр!$64:$68,рпр!$70:$123,рпр!$125:$145,рпр!$148:$156,рпр!$158:$172,рпр!$174:$284,рпр!$286:$310,рпр!$313:$348,рпр!$350:$498,рпр!$500:$584,рпр!$586:$605,рпр!$608:$612,рпр!$615:$635,рпр!$637:$700,рпр!$702:$723,рпр!$725:$741,рпр!$795:$814,рпр!$841:$843,рпр!$845:$858,рпр!$860:$889,рпр!$892:$896,рпр!$898:$919,рпр!$921:$941,рпр!$944:$946,рпр!$949:$951</oldFormula>
  </rdn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рпр!$B$1:$B$969</formula>
    <oldFormula>рпр!$B$1:$B$969</oldFormula>
  </rdn>
  <rcv guid="{2A135292-D5EB-4A8D-A93E-D0B24F2543E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9" sId="1" numFmtId="4">
    <oc r="E523">
      <v>68701.3</v>
    </oc>
    <nc r="E523">
      <f>68701.3+80</f>
    </nc>
  </rcc>
  <rcc rId="1050" sId="1" numFmtId="4">
    <oc r="E437">
      <v>12000</v>
    </oc>
    <nc r="E437">
      <f>12000+9649</f>
    </nc>
  </rcc>
  <rcc rId="1051" sId="1" numFmtId="4">
    <oc r="E463">
      <v>128832.5</v>
    </oc>
    <nc r="E463">
      <f>128832.5+2008.8</f>
    </nc>
  </rcc>
  <rcc rId="1052" sId="1" numFmtId="4">
    <oc r="E494">
      <v>190462.3</v>
    </oc>
    <nc r="E494">
      <f>190462.3+1061.8</f>
    </nc>
  </rcc>
  <rcc rId="1053" sId="1" numFmtId="4">
    <oc r="E738">
      <v>519</v>
    </oc>
    <nc r="E738">
      <f>519+92</f>
    </nc>
  </rcc>
  <rcc rId="1054" sId="1">
    <oc r="E84">
      <f>18579.5+37.9</f>
    </oc>
    <nc r="E84">
      <f>18579.5+37.9+100</f>
    </nc>
  </rcc>
  <rcc rId="1055" sId="1">
    <oc r="E87">
      <f>115</f>
    </oc>
    <nc r="E87">
      <f>115+100</f>
    </nc>
  </rcc>
  <rcc rId="1056" sId="1">
    <oc r="E241">
      <f>90217.8+5894</f>
    </oc>
    <nc r="E241">
      <f>90217.8+5894+6898.8</f>
    </nc>
  </rcc>
  <rcc rId="1057" sId="1" numFmtId="4">
    <nc r="E344">
      <v>775.3</v>
    </nc>
  </rcc>
  <rcc rId="1058" sId="1" numFmtId="4">
    <oc r="E447">
      <v>20367.2</v>
    </oc>
    <nc r="E447">
      <f>20367.2+3960.3</f>
    </nc>
  </rcc>
  <rcc rId="1059" sId="1" numFmtId="4">
    <oc r="E469">
      <v>25068.400000000001</v>
    </oc>
    <nc r="E469">
      <f>25068.4+768.4</f>
    </nc>
  </rcc>
  <rcc rId="1060" sId="1">
    <oc r="E585">
      <f>544267.5+1388.7+1286.4+9551.8</f>
    </oc>
    <nc r="E585">
      <f>544267.5+1388.7+1286.4+9551.8+330+1020.9</f>
    </nc>
  </rcc>
  <rrc rId="1061" sId="1" ref="A673:XFD673" action="insertRow">
    <undo index="65535" exp="area" ref3D="1" dr="$A$858:$XFD$860" dn="Z_1CA6CCC9_64EF_4CA9_9C9C_1E572976D134_.wvu.Rows" sId="1"/>
    <undo index="65535" exp="area" ref3D="1" dr="$A$853:$XFD$855" dn="Z_1CA6CCC9_64EF_4CA9_9C9C_1E572976D134_.wvu.Rows" sId="1"/>
    <undo index="65535" exp="area" ref3D="1" dr="$A$830:$XFD$850" dn="Z_1CA6CCC9_64EF_4CA9_9C9C_1E572976D134_.wvu.Rows" sId="1"/>
    <undo index="65535" exp="area" ref3D="1" dr="$A$810:$XFD$828" dn="Z_1CA6CCC9_64EF_4CA9_9C9C_1E572976D134_.wvu.Rows" sId="1"/>
    <undo index="65535" exp="area" ref3D="1" dr="$A$804:$XFD$808" dn="Z_1CA6CCC9_64EF_4CA9_9C9C_1E572976D134_.wvu.Rows" sId="1"/>
    <undo index="65535" exp="area" ref3D="1" dr="$A$772:$XFD$801" dn="Z_1CA6CCC9_64EF_4CA9_9C9C_1E572976D134_.wvu.Rows" sId="1"/>
    <undo index="65535" exp="area" ref3D="1" dr="$A$757:$XFD$770" dn="Z_1CA6CCC9_64EF_4CA9_9C9C_1E572976D134_.wvu.Rows" sId="1"/>
    <undo index="65535" exp="area" ref3D="1" dr="$A$753:$XFD$755" dn="Z_1CA6CCC9_64EF_4CA9_9C9C_1E572976D134_.wvu.Rows" sId="1"/>
    <undo index="65535" exp="area" ref3D="1" dr="$A$729:$XFD$750" dn="Z_1CA6CCC9_64EF_4CA9_9C9C_1E572976D134_.wvu.Rows" sId="1"/>
    <undo index="65535" exp="area" ref3D="1" dr="$A$708:$XFD$727" dn="Z_1CA6CCC9_64EF_4CA9_9C9C_1E572976D134_.wvu.Rows" sId="1"/>
    <undo index="65535" exp="area" ref3D="1" dr="$A$661:$XFD$705" dn="Z_1CA6CCC9_64EF_4CA9_9C9C_1E572976D134_.wvu.Rows" sId="1"/>
  </rrc>
  <rrc rId="1062" sId="1" ref="A673:XFD673" action="insertRow">
    <undo index="65535" exp="area" ref3D="1" dr="$A$859:$XFD$861" dn="Z_1CA6CCC9_64EF_4CA9_9C9C_1E572976D134_.wvu.Rows" sId="1"/>
    <undo index="65535" exp="area" ref3D="1" dr="$A$854:$XFD$856" dn="Z_1CA6CCC9_64EF_4CA9_9C9C_1E572976D134_.wvu.Rows" sId="1"/>
    <undo index="65535" exp="area" ref3D="1" dr="$A$831:$XFD$851" dn="Z_1CA6CCC9_64EF_4CA9_9C9C_1E572976D134_.wvu.Rows" sId="1"/>
    <undo index="65535" exp="area" ref3D="1" dr="$A$811:$XFD$829" dn="Z_1CA6CCC9_64EF_4CA9_9C9C_1E572976D134_.wvu.Rows" sId="1"/>
    <undo index="65535" exp="area" ref3D="1" dr="$A$805:$XFD$809" dn="Z_1CA6CCC9_64EF_4CA9_9C9C_1E572976D134_.wvu.Rows" sId="1"/>
    <undo index="65535" exp="area" ref3D="1" dr="$A$773:$XFD$802" dn="Z_1CA6CCC9_64EF_4CA9_9C9C_1E572976D134_.wvu.Rows" sId="1"/>
    <undo index="65535" exp="area" ref3D="1" dr="$A$758:$XFD$771" dn="Z_1CA6CCC9_64EF_4CA9_9C9C_1E572976D134_.wvu.Rows" sId="1"/>
    <undo index="65535" exp="area" ref3D="1" dr="$A$754:$XFD$756" dn="Z_1CA6CCC9_64EF_4CA9_9C9C_1E572976D134_.wvu.Rows" sId="1"/>
    <undo index="65535" exp="area" ref3D="1" dr="$A$730:$XFD$751" dn="Z_1CA6CCC9_64EF_4CA9_9C9C_1E572976D134_.wvu.Rows" sId="1"/>
    <undo index="65535" exp="area" ref3D="1" dr="$A$709:$XFD$728" dn="Z_1CA6CCC9_64EF_4CA9_9C9C_1E572976D134_.wvu.Rows" sId="1"/>
    <undo index="65535" exp="area" ref3D="1" dr="$A$661:$XFD$706" dn="Z_1CA6CCC9_64EF_4CA9_9C9C_1E572976D134_.wvu.Rows" sId="1"/>
  </rrc>
  <rrc rId="1063" sId="1" ref="A673:XFD673" action="insertRow">
    <undo index="65535" exp="area" ref3D="1" dr="$A$860:$XFD$862" dn="Z_1CA6CCC9_64EF_4CA9_9C9C_1E572976D134_.wvu.Rows" sId="1"/>
    <undo index="65535" exp="area" ref3D="1" dr="$A$855:$XFD$857" dn="Z_1CA6CCC9_64EF_4CA9_9C9C_1E572976D134_.wvu.Rows" sId="1"/>
    <undo index="65535" exp="area" ref3D="1" dr="$A$832:$XFD$852" dn="Z_1CA6CCC9_64EF_4CA9_9C9C_1E572976D134_.wvu.Rows" sId="1"/>
    <undo index="65535" exp="area" ref3D="1" dr="$A$812:$XFD$830" dn="Z_1CA6CCC9_64EF_4CA9_9C9C_1E572976D134_.wvu.Rows" sId="1"/>
    <undo index="65535" exp="area" ref3D="1" dr="$A$806:$XFD$810" dn="Z_1CA6CCC9_64EF_4CA9_9C9C_1E572976D134_.wvu.Rows" sId="1"/>
    <undo index="65535" exp="area" ref3D="1" dr="$A$774:$XFD$803" dn="Z_1CA6CCC9_64EF_4CA9_9C9C_1E572976D134_.wvu.Rows" sId="1"/>
    <undo index="65535" exp="area" ref3D="1" dr="$A$759:$XFD$772" dn="Z_1CA6CCC9_64EF_4CA9_9C9C_1E572976D134_.wvu.Rows" sId="1"/>
    <undo index="65535" exp="area" ref3D="1" dr="$A$755:$XFD$757" dn="Z_1CA6CCC9_64EF_4CA9_9C9C_1E572976D134_.wvu.Rows" sId="1"/>
    <undo index="65535" exp="area" ref3D="1" dr="$A$731:$XFD$752" dn="Z_1CA6CCC9_64EF_4CA9_9C9C_1E572976D134_.wvu.Rows" sId="1"/>
    <undo index="65535" exp="area" ref3D="1" dr="$A$710:$XFD$729" dn="Z_1CA6CCC9_64EF_4CA9_9C9C_1E572976D134_.wvu.Rows" sId="1"/>
    <undo index="65535" exp="area" ref3D="1" dr="$A$661:$XFD$707" dn="Z_1CA6CCC9_64EF_4CA9_9C9C_1E572976D134_.wvu.Rows" sId="1"/>
  </rrc>
  <rrc rId="1064" sId="1" ref="A673:XFD673" action="insertRow">
    <undo index="65535" exp="area" ref3D="1" dr="$A$861:$XFD$863" dn="Z_1CA6CCC9_64EF_4CA9_9C9C_1E572976D134_.wvu.Rows" sId="1"/>
    <undo index="65535" exp="area" ref3D="1" dr="$A$856:$XFD$858" dn="Z_1CA6CCC9_64EF_4CA9_9C9C_1E572976D134_.wvu.Rows" sId="1"/>
    <undo index="65535" exp="area" ref3D="1" dr="$A$833:$XFD$853" dn="Z_1CA6CCC9_64EF_4CA9_9C9C_1E572976D134_.wvu.Rows" sId="1"/>
    <undo index="65535" exp="area" ref3D="1" dr="$A$813:$XFD$831" dn="Z_1CA6CCC9_64EF_4CA9_9C9C_1E572976D134_.wvu.Rows" sId="1"/>
    <undo index="65535" exp="area" ref3D="1" dr="$A$807:$XFD$811" dn="Z_1CA6CCC9_64EF_4CA9_9C9C_1E572976D134_.wvu.Rows" sId="1"/>
    <undo index="65535" exp="area" ref3D="1" dr="$A$775:$XFD$804" dn="Z_1CA6CCC9_64EF_4CA9_9C9C_1E572976D134_.wvu.Rows" sId="1"/>
    <undo index="65535" exp="area" ref3D="1" dr="$A$760:$XFD$773" dn="Z_1CA6CCC9_64EF_4CA9_9C9C_1E572976D134_.wvu.Rows" sId="1"/>
    <undo index="65535" exp="area" ref3D="1" dr="$A$756:$XFD$758" dn="Z_1CA6CCC9_64EF_4CA9_9C9C_1E572976D134_.wvu.Rows" sId="1"/>
    <undo index="65535" exp="area" ref3D="1" dr="$A$732:$XFD$753" dn="Z_1CA6CCC9_64EF_4CA9_9C9C_1E572976D134_.wvu.Rows" sId="1"/>
    <undo index="65535" exp="area" ref3D="1" dr="$A$711:$XFD$730" dn="Z_1CA6CCC9_64EF_4CA9_9C9C_1E572976D134_.wvu.Rows" sId="1"/>
    <undo index="65535" exp="area" ref3D="1" dr="$A$661:$XFD$708" dn="Z_1CA6CCC9_64EF_4CA9_9C9C_1E572976D134_.wvu.Rows" sId="1"/>
  </rrc>
  <rrc rId="1065" sId="1" ref="A673:XFD673" action="insertRow">
    <undo index="65535" exp="area" ref3D="1" dr="$A$862:$XFD$864" dn="Z_1CA6CCC9_64EF_4CA9_9C9C_1E572976D134_.wvu.Rows" sId="1"/>
    <undo index="65535" exp="area" ref3D="1" dr="$A$857:$XFD$859" dn="Z_1CA6CCC9_64EF_4CA9_9C9C_1E572976D134_.wvu.Rows" sId="1"/>
    <undo index="65535" exp="area" ref3D="1" dr="$A$834:$XFD$854" dn="Z_1CA6CCC9_64EF_4CA9_9C9C_1E572976D134_.wvu.Rows" sId="1"/>
    <undo index="65535" exp="area" ref3D="1" dr="$A$814:$XFD$832" dn="Z_1CA6CCC9_64EF_4CA9_9C9C_1E572976D134_.wvu.Rows" sId="1"/>
    <undo index="65535" exp="area" ref3D="1" dr="$A$808:$XFD$812" dn="Z_1CA6CCC9_64EF_4CA9_9C9C_1E572976D134_.wvu.Rows" sId="1"/>
    <undo index="65535" exp="area" ref3D="1" dr="$A$776:$XFD$805" dn="Z_1CA6CCC9_64EF_4CA9_9C9C_1E572976D134_.wvu.Rows" sId="1"/>
    <undo index="65535" exp="area" ref3D="1" dr="$A$761:$XFD$774" dn="Z_1CA6CCC9_64EF_4CA9_9C9C_1E572976D134_.wvu.Rows" sId="1"/>
    <undo index="65535" exp="area" ref3D="1" dr="$A$757:$XFD$759" dn="Z_1CA6CCC9_64EF_4CA9_9C9C_1E572976D134_.wvu.Rows" sId="1"/>
    <undo index="65535" exp="area" ref3D="1" dr="$A$733:$XFD$754" dn="Z_1CA6CCC9_64EF_4CA9_9C9C_1E572976D134_.wvu.Rows" sId="1"/>
    <undo index="65535" exp="area" ref3D="1" dr="$A$712:$XFD$731" dn="Z_1CA6CCC9_64EF_4CA9_9C9C_1E572976D134_.wvu.Rows" sId="1"/>
    <undo index="65535" exp="area" ref3D="1" dr="$A$661:$XFD$709" dn="Z_1CA6CCC9_64EF_4CA9_9C9C_1E572976D134_.wvu.Rows" sId="1"/>
  </rrc>
  <rcc rId="1066" sId="1" odxf="1" dxf="1">
    <nc r="A673" t="inlineStr">
      <is>
    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    </is>
    </nc>
    <odxf>
      <font>
        <sz val="12"/>
        <color auto="1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067" sId="1" odxf="1" s="1" dxf="1">
    <nc r="A674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68" sId="1" odxf="1" s="1" dxf="1">
    <nc r="A675" t="inlineStr">
      <is>
        <t>Социальное обеспечение и иные выплаты населению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69" sId="1" odxf="1" s="1" dxf="1">
    <nc r="A676" t="inlineStr">
      <is>
    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70" sId="1" odxf="1" s="1" dxf="1">
    <nc r="A677" t="inlineStr">
      <is>
        <t>Предоставление субсидий бюджетным, автономным учреждениям и иным некоммерческим организациям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71" sId="1" odxf="1" dxf="1">
    <nc r="B673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72" sId="1" odxf="1" s="1" dxf="1">
    <nc r="C673" t="inlineStr">
      <is>
        <t>04 3 02 10080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D673" start="0" length="0">
    <dxf>
      <font>
        <sz val="12"/>
        <name val="Times New Roman"/>
        <family val="1"/>
      </font>
      <numFmt numFmtId="30" formatCode="@"/>
    </dxf>
  </rfmt>
  <rcc rId="1073" sId="1" odxf="1" dxf="1">
    <nc r="B674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74" sId="1" odxf="1" s="1" dxf="1">
    <nc r="C674" t="inlineStr">
      <is>
        <t>04 3 02 10080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75" sId="1" odxf="1" dxf="1">
    <nc r="D674" t="inlineStr">
      <is>
        <t>200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076" sId="1" odxf="1" dxf="1">
    <nc r="B675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77" sId="1" odxf="1" s="1" dxf="1">
    <nc r="C675" t="inlineStr">
      <is>
        <t>04 3 02 10080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78" sId="1" odxf="1" dxf="1">
    <nc r="D675" t="inlineStr">
      <is>
        <t>300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079" sId="1" odxf="1" dxf="1">
    <nc r="B676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80" sId="1" odxf="1" s="1" dxf="1">
    <nc r="C676" t="inlineStr">
      <is>
        <t>04 3 02 10640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D676" start="0" length="0">
    <dxf>
      <font>
        <sz val="12"/>
        <name val="Times New Roman"/>
        <family val="1"/>
      </font>
      <numFmt numFmtId="30" formatCode="@"/>
    </dxf>
  </rfmt>
  <rcc rId="1081" sId="1" odxf="1" dxf="1">
    <nc r="B677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82" sId="1" odxf="1" s="1" dxf="1">
    <nc r="C677" t="inlineStr">
      <is>
        <t>04 3 02 10640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83" sId="1" odxf="1" dxf="1">
    <nc r="D677" t="inlineStr">
      <is>
        <t>600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084" sId="1" numFmtId="4">
    <nc r="E674">
      <v>10</v>
    </nc>
  </rcc>
  <rcc rId="1085" sId="1" numFmtId="4">
    <nc r="E675">
      <v>1523</v>
    </nc>
  </rcc>
  <rcc rId="1086" sId="1" numFmtId="4">
    <nc r="E677">
      <v>404</v>
    </nc>
  </rcc>
  <rcc rId="1087" sId="1">
    <nc r="E676">
      <f>+E677</f>
    </nc>
  </rcc>
  <rcc rId="1088" sId="1">
    <nc r="E673">
      <f>+E674+E675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E672">
      <f>E678+E680+E682+E685+E687</f>
    </oc>
    <nc r="E672">
      <f>E678+E680+E682+E685+E687+E673+E676</f>
    </nc>
  </rcc>
  <rcc rId="1090" sId="1">
    <oc r="F672">
      <f>F678+F680+F682+F685+F687</f>
    </oc>
    <nc r="F672">
      <f>F678+F680+F682+F685+F687+F673+F676</f>
    </nc>
  </rcc>
  <rcc rId="1091" sId="1">
    <oc r="G672">
      <f>G678+G680+G682+G685+G687</f>
    </oc>
    <nc r="G672">
      <f>G678+G680+G682+G685+G687+G673+G676</f>
    </nc>
  </rcc>
  <rcc rId="1092" sId="1">
    <nc r="F673">
      <f>+F674+F675</f>
    </nc>
  </rcc>
  <rcc rId="1093" sId="1">
    <nc r="G673">
      <f>+G674+G675</f>
    </nc>
  </rcc>
  <rcc rId="1094" sId="1">
    <nc r="F676">
      <f>+F677</f>
    </nc>
  </rcc>
  <rcc rId="1095" sId="1">
    <nc r="G676">
      <f>+G677</f>
    </nc>
  </rcc>
  <rcc rId="1096" sId="1">
    <oc r="E839">
      <f>253422.3+6528.9</f>
    </oc>
    <nc r="E839">
      <f>253422.3+6528.9+673.7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7" sId="1" ref="A314:XFD314" action="insertRow">
    <undo index="65535" exp="area" ref3D="1" dr="$A$863:$XFD$865" dn="Z_1CA6CCC9_64EF_4CA9_9C9C_1E572976D134_.wvu.Rows" sId="1"/>
    <undo index="65535" exp="area" ref3D="1" dr="$A$858:$XFD$860" dn="Z_1CA6CCC9_64EF_4CA9_9C9C_1E572976D134_.wvu.Rows" sId="1"/>
    <undo index="65535" exp="area" ref3D="1" dr="$A$835:$XFD$855" dn="Z_1CA6CCC9_64EF_4CA9_9C9C_1E572976D134_.wvu.Rows" sId="1"/>
    <undo index="65535" exp="area" ref3D="1" dr="$A$815:$XFD$833" dn="Z_1CA6CCC9_64EF_4CA9_9C9C_1E572976D134_.wvu.Rows" sId="1"/>
    <undo index="65535" exp="area" ref3D="1" dr="$A$809:$XFD$813" dn="Z_1CA6CCC9_64EF_4CA9_9C9C_1E572976D134_.wvu.Rows" sId="1"/>
    <undo index="65535" exp="area" ref3D="1" dr="$A$777:$XFD$806" dn="Z_1CA6CCC9_64EF_4CA9_9C9C_1E572976D134_.wvu.Rows" sId="1"/>
    <undo index="65535" exp="area" ref3D="1" dr="$A$762:$XFD$775" dn="Z_1CA6CCC9_64EF_4CA9_9C9C_1E572976D134_.wvu.Rows" sId="1"/>
    <undo index="65535" exp="area" ref3D="1" dr="$A$758:$XFD$760" dn="Z_1CA6CCC9_64EF_4CA9_9C9C_1E572976D134_.wvu.Rows" sId="1"/>
    <undo index="65535" exp="area" ref3D="1" dr="$A$734:$XFD$755" dn="Z_1CA6CCC9_64EF_4CA9_9C9C_1E572976D134_.wvu.Rows" sId="1"/>
    <undo index="65535" exp="area" ref3D="1" dr="$A$713:$XFD$732" dn="Z_1CA6CCC9_64EF_4CA9_9C9C_1E572976D134_.wvu.Rows" sId="1"/>
    <undo index="65535" exp="area" ref3D="1" dr="$A$661:$XFD$710" dn="Z_1CA6CCC9_64EF_4CA9_9C9C_1E572976D134_.wvu.Rows" sId="1"/>
    <undo index="65535" exp="area" ref3D="1" dr="$A$643:$XFD$659" dn="Z_1CA6CCC9_64EF_4CA9_9C9C_1E572976D134_.wvu.Rows" sId="1"/>
    <undo index="65535" exp="area" ref3D="1" dr="$A$620:$XFD$641" dn="Z_1CA6CCC9_64EF_4CA9_9C9C_1E572976D134_.wvu.Rows" sId="1"/>
    <undo index="65535" exp="area" ref3D="1" dr="$A$555:$XFD$618" dn="Z_1CA6CCC9_64EF_4CA9_9C9C_1E572976D134_.wvu.Rows" sId="1"/>
    <undo index="65535" exp="area" ref3D="1" dr="$A$533:$XFD$553" dn="Z_1CA6CCC9_64EF_4CA9_9C9C_1E572976D134_.wvu.Rows" sId="1"/>
    <undo index="65535" exp="area" ref3D="1" dr="$A$526:$XFD$530" dn="Z_1CA6CCC9_64EF_4CA9_9C9C_1E572976D134_.wvu.Rows" sId="1"/>
    <undo index="65535" exp="area" ref3D="1" dr="$A$504:$XFD$523" dn="Z_1CA6CCC9_64EF_4CA9_9C9C_1E572976D134_.wvu.Rows" sId="1"/>
    <undo index="65535" exp="area" ref3D="1" dr="$A$425:$XFD$502" dn="Z_1CA6CCC9_64EF_4CA9_9C9C_1E572976D134_.wvu.Rows" sId="1"/>
    <undo index="65535" exp="area" ref3D="1" dr="$A$324:$XFD$423" dn="Z_1CA6CCC9_64EF_4CA9_9C9C_1E572976D134_.wvu.Rows" sId="1"/>
    <undo index="65535" exp="area" ref3D="1" dr="$A$289:$XFD$322" dn="Z_1CA6CCC9_64EF_4CA9_9C9C_1E572976D134_.wvu.Rows" sId="1"/>
  </rrc>
  <rrc rId="1098" sId="1" ref="A314:XFD314" action="insertRow">
    <undo index="65535" exp="area" ref3D="1" dr="$A$864:$XFD$866" dn="Z_1CA6CCC9_64EF_4CA9_9C9C_1E572976D134_.wvu.Rows" sId="1"/>
    <undo index="65535" exp="area" ref3D="1" dr="$A$859:$XFD$861" dn="Z_1CA6CCC9_64EF_4CA9_9C9C_1E572976D134_.wvu.Rows" sId="1"/>
    <undo index="65535" exp="area" ref3D="1" dr="$A$836:$XFD$856" dn="Z_1CA6CCC9_64EF_4CA9_9C9C_1E572976D134_.wvu.Rows" sId="1"/>
    <undo index="65535" exp="area" ref3D="1" dr="$A$816:$XFD$834" dn="Z_1CA6CCC9_64EF_4CA9_9C9C_1E572976D134_.wvu.Rows" sId="1"/>
    <undo index="65535" exp="area" ref3D="1" dr="$A$810:$XFD$814" dn="Z_1CA6CCC9_64EF_4CA9_9C9C_1E572976D134_.wvu.Rows" sId="1"/>
    <undo index="65535" exp="area" ref3D="1" dr="$A$778:$XFD$807" dn="Z_1CA6CCC9_64EF_4CA9_9C9C_1E572976D134_.wvu.Rows" sId="1"/>
    <undo index="65535" exp="area" ref3D="1" dr="$A$763:$XFD$776" dn="Z_1CA6CCC9_64EF_4CA9_9C9C_1E572976D134_.wvu.Rows" sId="1"/>
    <undo index="65535" exp="area" ref3D="1" dr="$A$759:$XFD$761" dn="Z_1CA6CCC9_64EF_4CA9_9C9C_1E572976D134_.wvu.Rows" sId="1"/>
    <undo index="65535" exp="area" ref3D="1" dr="$A$735:$XFD$756" dn="Z_1CA6CCC9_64EF_4CA9_9C9C_1E572976D134_.wvu.Rows" sId="1"/>
    <undo index="65535" exp="area" ref3D="1" dr="$A$714:$XFD$733" dn="Z_1CA6CCC9_64EF_4CA9_9C9C_1E572976D134_.wvu.Rows" sId="1"/>
    <undo index="65535" exp="area" ref3D="1" dr="$A$662:$XFD$711" dn="Z_1CA6CCC9_64EF_4CA9_9C9C_1E572976D134_.wvu.Rows" sId="1"/>
    <undo index="65535" exp="area" ref3D="1" dr="$A$644:$XFD$660" dn="Z_1CA6CCC9_64EF_4CA9_9C9C_1E572976D134_.wvu.Rows" sId="1"/>
    <undo index="65535" exp="area" ref3D="1" dr="$A$621:$XFD$642" dn="Z_1CA6CCC9_64EF_4CA9_9C9C_1E572976D134_.wvu.Rows" sId="1"/>
    <undo index="65535" exp="area" ref3D="1" dr="$A$556:$XFD$619" dn="Z_1CA6CCC9_64EF_4CA9_9C9C_1E572976D134_.wvu.Rows" sId="1"/>
    <undo index="65535" exp="area" ref3D="1" dr="$A$534:$XFD$554" dn="Z_1CA6CCC9_64EF_4CA9_9C9C_1E572976D134_.wvu.Rows" sId="1"/>
    <undo index="65535" exp="area" ref3D="1" dr="$A$527:$XFD$531" dn="Z_1CA6CCC9_64EF_4CA9_9C9C_1E572976D134_.wvu.Rows" sId="1"/>
    <undo index="65535" exp="area" ref3D="1" dr="$A$505:$XFD$524" dn="Z_1CA6CCC9_64EF_4CA9_9C9C_1E572976D134_.wvu.Rows" sId="1"/>
    <undo index="65535" exp="area" ref3D="1" dr="$A$426:$XFD$503" dn="Z_1CA6CCC9_64EF_4CA9_9C9C_1E572976D134_.wvu.Rows" sId="1"/>
    <undo index="65535" exp="area" ref3D="1" dr="$A$325:$XFD$424" dn="Z_1CA6CCC9_64EF_4CA9_9C9C_1E572976D134_.wvu.Rows" sId="1"/>
    <undo index="65535" exp="area" ref3D="1" dr="$A$289:$XFD$323" dn="Z_1CA6CCC9_64EF_4CA9_9C9C_1E572976D134_.wvu.Rows" sId="1"/>
  </rrc>
  <rcc rId="1099" sId="1" odxf="1" s="1" dxf="1">
    <nc r="A314" t="inlineStr">
      <is>
        <t>Устройство подъемника в МКД для маломобильных групп населения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bgColor rgb="FFFFFF00"/>
        </patternFill>
      </fill>
    </ndxf>
  </rcc>
  <rcc rId="1100" sId="1" odxf="1" s="1" dxf="1">
    <nc r="A315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bgColor rgb="FFFFFF00"/>
        </patternFill>
      </fill>
    </ndxf>
  </rcc>
  <rcc rId="1101" sId="1" odxf="1" dxf="1">
    <nc r="B314" t="inlineStr">
      <is>
        <t>0501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2" sId="1" odxf="1" dxf="1">
    <nc r="C314" t="inlineStr">
      <is>
        <t>03 2 02 10225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fmt sheetId="1" sqref="D314" start="0" length="0">
    <dxf>
      <font>
        <sz val="12"/>
        <name val="Times New Roman"/>
        <family val="1"/>
      </font>
      <fill>
        <patternFill patternType="solid">
          <bgColor rgb="FFFFFF00"/>
        </patternFill>
      </fill>
    </dxf>
  </rfmt>
  <rcc rId="1103" sId="1" odxf="1" dxf="1">
    <nc r="B315" t="inlineStr">
      <is>
        <t>0501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4" sId="1" odxf="1" dxf="1">
    <nc r="C315" t="inlineStr">
      <is>
        <t>03 2 02 10225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5" sId="1" odxf="1" dxf="1" numFmtId="30">
    <nc r="D315">
      <v>200</v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6" sId="1" numFmtId="4">
    <nc r="E315">
      <v>540.9</v>
    </nc>
  </rcc>
  <rcc rId="1107" sId="1">
    <nc r="E314">
      <f>+E315</f>
    </nc>
  </rcc>
  <rcc rId="1108" sId="1">
    <nc r="F314">
      <f>+F315</f>
    </nc>
  </rcc>
  <rcc rId="1109" sId="1">
    <nc r="G314">
      <f>+G315</f>
    </nc>
  </rcc>
  <rcc rId="1110" sId="1">
    <oc r="E303">
      <f>E304+E310+E306+E308+E316+E312</f>
    </oc>
    <nc r="E303">
      <f>E304+E310+E306+E308+E316+E312+E314</f>
    </nc>
  </rcc>
  <rcc rId="1111" sId="1" numFmtId="4">
    <oc r="E480">
      <v>30000</v>
    </oc>
    <nc r="E480">
      <f>30000+67600</f>
    </nc>
  </rcc>
  <rcc rId="1112" sId="1">
    <oc r="E587">
      <f>544267.5+1388.7+1286.4+9551.8+330+1020.9</f>
    </oc>
    <nc r="E587">
      <f>544267.5+1388.7+1286.4+9551.8+330+1020.9+5153.6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3" sId="1" ref="A295:XFD295" action="insertRow">
    <undo index="65535" exp="area" ref3D="1" dr="$A$865:$XFD$867" dn="Z_1CA6CCC9_64EF_4CA9_9C9C_1E572976D134_.wvu.Rows" sId="1"/>
    <undo index="65535" exp="area" ref3D="1" dr="$A$860:$XFD$862" dn="Z_1CA6CCC9_64EF_4CA9_9C9C_1E572976D134_.wvu.Rows" sId="1"/>
    <undo index="65535" exp="area" ref3D="1" dr="$A$837:$XFD$857" dn="Z_1CA6CCC9_64EF_4CA9_9C9C_1E572976D134_.wvu.Rows" sId="1"/>
    <undo index="65535" exp="area" ref3D="1" dr="$A$817:$XFD$835" dn="Z_1CA6CCC9_64EF_4CA9_9C9C_1E572976D134_.wvu.Rows" sId="1"/>
    <undo index="65535" exp="area" ref3D="1" dr="$A$811:$XFD$815" dn="Z_1CA6CCC9_64EF_4CA9_9C9C_1E572976D134_.wvu.Rows" sId="1"/>
    <undo index="65535" exp="area" ref3D="1" dr="$A$779:$XFD$808" dn="Z_1CA6CCC9_64EF_4CA9_9C9C_1E572976D134_.wvu.Rows" sId="1"/>
    <undo index="65535" exp="area" ref3D="1" dr="$A$764:$XFD$777" dn="Z_1CA6CCC9_64EF_4CA9_9C9C_1E572976D134_.wvu.Rows" sId="1"/>
    <undo index="65535" exp="area" ref3D="1" dr="$A$760:$XFD$762" dn="Z_1CA6CCC9_64EF_4CA9_9C9C_1E572976D134_.wvu.Rows" sId="1"/>
    <undo index="65535" exp="area" ref3D="1" dr="$A$736:$XFD$757" dn="Z_1CA6CCC9_64EF_4CA9_9C9C_1E572976D134_.wvu.Rows" sId="1"/>
    <undo index="65535" exp="area" ref3D="1" dr="$A$715:$XFD$734" dn="Z_1CA6CCC9_64EF_4CA9_9C9C_1E572976D134_.wvu.Rows" sId="1"/>
    <undo index="65535" exp="area" ref3D="1" dr="$A$663:$XFD$712" dn="Z_1CA6CCC9_64EF_4CA9_9C9C_1E572976D134_.wvu.Rows" sId="1"/>
    <undo index="65535" exp="area" ref3D="1" dr="$A$645:$XFD$661" dn="Z_1CA6CCC9_64EF_4CA9_9C9C_1E572976D134_.wvu.Rows" sId="1"/>
    <undo index="65535" exp="area" ref3D="1" dr="$A$622:$XFD$643" dn="Z_1CA6CCC9_64EF_4CA9_9C9C_1E572976D134_.wvu.Rows" sId="1"/>
    <undo index="65535" exp="area" ref3D="1" dr="$A$557:$XFD$620" dn="Z_1CA6CCC9_64EF_4CA9_9C9C_1E572976D134_.wvu.Rows" sId="1"/>
    <undo index="65535" exp="area" ref3D="1" dr="$A$535:$XFD$555" dn="Z_1CA6CCC9_64EF_4CA9_9C9C_1E572976D134_.wvu.Rows" sId="1"/>
    <undo index="65535" exp="area" ref3D="1" dr="$A$528:$XFD$532" dn="Z_1CA6CCC9_64EF_4CA9_9C9C_1E572976D134_.wvu.Rows" sId="1"/>
    <undo index="65535" exp="area" ref3D="1" dr="$A$506:$XFD$525" dn="Z_1CA6CCC9_64EF_4CA9_9C9C_1E572976D134_.wvu.Rows" sId="1"/>
    <undo index="65535" exp="area" ref3D="1" dr="$A$427:$XFD$504" dn="Z_1CA6CCC9_64EF_4CA9_9C9C_1E572976D134_.wvu.Rows" sId="1"/>
    <undo index="65535" exp="area" ref3D="1" dr="$A$326:$XFD$425" dn="Z_1CA6CCC9_64EF_4CA9_9C9C_1E572976D134_.wvu.Rows" sId="1"/>
    <undo index="65535" exp="area" ref3D="1" dr="$A$289:$XFD$324" dn="Z_1CA6CCC9_64EF_4CA9_9C9C_1E572976D134_.wvu.Rows" sId="1"/>
  </rrc>
  <rrc rId="1114" sId="1" ref="A295:XFD295" action="insertRow">
    <undo index="65535" exp="area" ref3D="1" dr="$A$866:$XFD$868" dn="Z_1CA6CCC9_64EF_4CA9_9C9C_1E572976D134_.wvu.Rows" sId="1"/>
    <undo index="65535" exp="area" ref3D="1" dr="$A$861:$XFD$863" dn="Z_1CA6CCC9_64EF_4CA9_9C9C_1E572976D134_.wvu.Rows" sId="1"/>
    <undo index="65535" exp="area" ref3D="1" dr="$A$838:$XFD$858" dn="Z_1CA6CCC9_64EF_4CA9_9C9C_1E572976D134_.wvu.Rows" sId="1"/>
    <undo index="65535" exp="area" ref3D="1" dr="$A$818:$XFD$836" dn="Z_1CA6CCC9_64EF_4CA9_9C9C_1E572976D134_.wvu.Rows" sId="1"/>
    <undo index="65535" exp="area" ref3D="1" dr="$A$812:$XFD$816" dn="Z_1CA6CCC9_64EF_4CA9_9C9C_1E572976D134_.wvu.Rows" sId="1"/>
    <undo index="65535" exp="area" ref3D="1" dr="$A$780:$XFD$809" dn="Z_1CA6CCC9_64EF_4CA9_9C9C_1E572976D134_.wvu.Rows" sId="1"/>
    <undo index="65535" exp="area" ref3D="1" dr="$A$765:$XFD$778" dn="Z_1CA6CCC9_64EF_4CA9_9C9C_1E572976D134_.wvu.Rows" sId="1"/>
    <undo index="65535" exp="area" ref3D="1" dr="$A$761:$XFD$763" dn="Z_1CA6CCC9_64EF_4CA9_9C9C_1E572976D134_.wvu.Rows" sId="1"/>
    <undo index="65535" exp="area" ref3D="1" dr="$A$737:$XFD$758" dn="Z_1CA6CCC9_64EF_4CA9_9C9C_1E572976D134_.wvu.Rows" sId="1"/>
    <undo index="65535" exp="area" ref3D="1" dr="$A$716:$XFD$735" dn="Z_1CA6CCC9_64EF_4CA9_9C9C_1E572976D134_.wvu.Rows" sId="1"/>
    <undo index="65535" exp="area" ref3D="1" dr="$A$664:$XFD$713" dn="Z_1CA6CCC9_64EF_4CA9_9C9C_1E572976D134_.wvu.Rows" sId="1"/>
    <undo index="65535" exp="area" ref3D="1" dr="$A$646:$XFD$662" dn="Z_1CA6CCC9_64EF_4CA9_9C9C_1E572976D134_.wvu.Rows" sId="1"/>
    <undo index="65535" exp="area" ref3D="1" dr="$A$623:$XFD$644" dn="Z_1CA6CCC9_64EF_4CA9_9C9C_1E572976D134_.wvu.Rows" sId="1"/>
    <undo index="65535" exp="area" ref3D="1" dr="$A$558:$XFD$621" dn="Z_1CA6CCC9_64EF_4CA9_9C9C_1E572976D134_.wvu.Rows" sId="1"/>
    <undo index="65535" exp="area" ref3D="1" dr="$A$536:$XFD$556" dn="Z_1CA6CCC9_64EF_4CA9_9C9C_1E572976D134_.wvu.Rows" sId="1"/>
    <undo index="65535" exp="area" ref3D="1" dr="$A$529:$XFD$533" dn="Z_1CA6CCC9_64EF_4CA9_9C9C_1E572976D134_.wvu.Rows" sId="1"/>
    <undo index="65535" exp="area" ref3D="1" dr="$A$507:$XFD$526" dn="Z_1CA6CCC9_64EF_4CA9_9C9C_1E572976D134_.wvu.Rows" sId="1"/>
    <undo index="65535" exp="area" ref3D="1" dr="$A$428:$XFD$505" dn="Z_1CA6CCC9_64EF_4CA9_9C9C_1E572976D134_.wvu.Rows" sId="1"/>
    <undo index="65535" exp="area" ref3D="1" dr="$A$327:$XFD$426" dn="Z_1CA6CCC9_64EF_4CA9_9C9C_1E572976D134_.wvu.Rows" sId="1"/>
    <undo index="65535" exp="area" ref3D="1" dr="$A$289:$XFD$325" dn="Z_1CA6CCC9_64EF_4CA9_9C9C_1E572976D134_.wvu.Rows" sId="1"/>
  </rrc>
  <rcc rId="1115" sId="1">
    <nc r="A295" t="inlineStr">
      <is>
        <t>Выплата возмещения за изымаемые жилые помещения</t>
      </is>
    </nc>
  </rcc>
  <rcc rId="1116" sId="1" odxf="1" dxf="1">
    <nc r="A296" t="inlineStr">
      <is>
        <t>Капитальные вложения в объекты государственной (муниципальной) собственности</t>
      </is>
    </nc>
    <odxf>
      <numFmt numFmtId="1" formatCode="0"/>
    </odxf>
    <ndxf>
      <numFmt numFmtId="0" formatCode="General"/>
    </ndxf>
  </rcc>
  <rcc rId="1117" sId="1">
    <nc r="B295" t="inlineStr">
      <is>
        <t>0501</t>
      </is>
    </nc>
  </rcc>
  <rcc rId="1118" sId="1">
    <nc r="C295" t="inlineStr">
      <is>
        <t>01 1 И2 6748S</t>
      </is>
    </nc>
  </rcc>
  <rcc rId="1119" sId="1">
    <nc r="B296" t="inlineStr">
      <is>
        <t>0501</t>
      </is>
    </nc>
  </rcc>
  <rcc rId="1120" sId="1">
    <nc r="C296" t="inlineStr">
      <is>
        <t>01 1 И2 6748S</t>
      </is>
    </nc>
  </rcc>
  <rcc rId="1121" sId="1">
    <nc r="D296" t="inlineStr">
      <is>
        <t>400</t>
      </is>
    </nc>
  </rcc>
  <rcc rId="1122" sId="1" numFmtId="4">
    <nc r="E296">
      <v>2932.5</v>
    </nc>
  </rcc>
  <rcc rId="1123" sId="1">
    <nc r="E295">
      <f>+E296</f>
    </nc>
  </rcc>
  <rcc rId="1124" sId="1">
    <nc r="F295">
      <f>+F296</f>
    </nc>
  </rcc>
  <rcc rId="1125" sId="1">
    <nc r="G295">
      <f>+G296</f>
    </nc>
  </rcc>
  <rcc rId="1126" sId="1">
    <oc r="E291">
      <f>E297+E292</f>
    </oc>
    <nc r="E291">
      <f>E297+E292+E295</f>
    </nc>
  </rcc>
  <rcc rId="1127" sId="1">
    <oc r="F291">
      <f>F297</f>
    </oc>
    <nc r="F291">
      <f>F297+F292+F295</f>
    </nc>
  </rcc>
  <rcc rId="1128" sId="1">
    <oc r="G291">
      <f>G297</f>
    </oc>
    <nc r="G291">
      <f>G297+G292+G295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2:E34" start="0" length="2147483647">
    <dxf>
      <font>
        <color theme="1"/>
      </font>
    </dxf>
  </rfmt>
  <rcc rId="1129" sId="1">
    <oc r="E32">
      <f>376021.1+79.2</f>
    </oc>
    <nc r="E32">
      <f>376021.1+79.2+16603.9</f>
    </nc>
  </rcc>
  <rcc rId="1130" sId="1">
    <oc r="E33">
      <f>49803.4+106.6</f>
    </oc>
    <nc r="E33">
      <f>49803.4+106.6+15313</f>
    </nc>
  </rcc>
  <rcc rId="1131" sId="1" numFmtId="4">
    <oc r="E525">
      <v>93895.9</v>
    </oc>
    <nc r="E525">
      <f>93895.9+4551.4</f>
    </nc>
  </rcc>
  <rcc rId="1132" sId="1">
    <oc r="E527">
      <f>68701.3+80</f>
    </oc>
    <nc r="E527">
      <f>68701.3+80+50000</f>
    </nc>
  </rcc>
  <rcc rId="1133" sId="1" numFmtId="4">
    <oc r="E659">
      <v>3300</v>
    </oc>
    <nc r="E659">
      <f>3300+414.6</f>
    </nc>
  </rcc>
  <rcc rId="1134" sId="1" numFmtId="4">
    <oc r="E663">
      <v>55051.5</v>
    </oc>
    <nc r="E663">
      <f>55051.5+2679.1</f>
    </nc>
  </rcc>
  <rcc rId="1135" sId="1" numFmtId="4">
    <oc r="E764">
      <v>11788.2</v>
    </oc>
    <nc r="E764">
      <f>11788.2+120.8</f>
    </nc>
  </rcc>
  <rcc rId="1136" sId="1" numFmtId="4">
    <oc r="E817">
      <v>50729.9</v>
    </oc>
    <nc r="E817">
      <f>50729.9+80.1</f>
    </nc>
  </rcc>
  <rcc rId="1137" sId="1" numFmtId="4">
    <oc r="E835">
      <v>9895.1</v>
    </oc>
    <nc r="E835">
      <f>9895.1+1633.4</f>
    </nc>
  </rcc>
  <rcc rId="1138" sId="1" numFmtId="4">
    <oc r="E56">
      <v>88962.3</v>
    </oc>
    <nc r="E56">
      <f>88962.3+1843.8</f>
    </nc>
  </rcc>
  <rcc rId="1139" sId="1" numFmtId="4">
    <oc r="E136">
      <v>9282.5</v>
    </oc>
    <nc r="E136">
      <f>9282.5+325</f>
    </nc>
  </rcc>
  <rcc rId="1140" sId="1" numFmtId="4">
    <oc r="E253">
      <v>273934.3</v>
    </oc>
    <nc r="E253">
      <f>273934.3+10619.7</f>
    </nc>
  </rcc>
  <rcc rId="1141" sId="1">
    <oc r="E467">
      <f>128832.5+2008.8</f>
    </oc>
    <nc r="E467">
      <f>128832.5+2008.8+15000</f>
    </nc>
  </rcc>
  <rrc rId="1142" sId="1" ref="A468:XFD468" action="insertRow">
    <undo index="65535" exp="area" ref3D="1" dr="$A$867:$XFD$869" dn="Z_1CA6CCC9_64EF_4CA9_9C9C_1E572976D134_.wvu.Rows" sId="1"/>
    <undo index="65535" exp="area" ref3D="1" dr="$A$862:$XFD$864" dn="Z_1CA6CCC9_64EF_4CA9_9C9C_1E572976D134_.wvu.Rows" sId="1"/>
    <undo index="65535" exp="area" ref3D="1" dr="$A$839:$XFD$859" dn="Z_1CA6CCC9_64EF_4CA9_9C9C_1E572976D134_.wvu.Rows" sId="1"/>
    <undo index="65535" exp="area" ref3D="1" dr="$A$819:$XFD$837" dn="Z_1CA6CCC9_64EF_4CA9_9C9C_1E572976D134_.wvu.Rows" sId="1"/>
    <undo index="65535" exp="area" ref3D="1" dr="$A$813:$XFD$817" dn="Z_1CA6CCC9_64EF_4CA9_9C9C_1E572976D134_.wvu.Rows" sId="1"/>
    <undo index="65535" exp="area" ref3D="1" dr="$A$781:$XFD$810" dn="Z_1CA6CCC9_64EF_4CA9_9C9C_1E572976D134_.wvu.Rows" sId="1"/>
    <undo index="65535" exp="area" ref3D="1" dr="$A$766:$XFD$779" dn="Z_1CA6CCC9_64EF_4CA9_9C9C_1E572976D134_.wvu.Rows" sId="1"/>
    <undo index="65535" exp="area" ref3D="1" dr="$A$762:$XFD$764" dn="Z_1CA6CCC9_64EF_4CA9_9C9C_1E572976D134_.wvu.Rows" sId="1"/>
    <undo index="65535" exp="area" ref3D="1" dr="$A$738:$XFD$759" dn="Z_1CA6CCC9_64EF_4CA9_9C9C_1E572976D134_.wvu.Rows" sId="1"/>
    <undo index="65535" exp="area" ref3D="1" dr="$A$717:$XFD$736" dn="Z_1CA6CCC9_64EF_4CA9_9C9C_1E572976D134_.wvu.Rows" sId="1"/>
    <undo index="65535" exp="area" ref3D="1" dr="$A$665:$XFD$714" dn="Z_1CA6CCC9_64EF_4CA9_9C9C_1E572976D134_.wvu.Rows" sId="1"/>
    <undo index="65535" exp="area" ref3D="1" dr="$A$647:$XFD$663" dn="Z_1CA6CCC9_64EF_4CA9_9C9C_1E572976D134_.wvu.Rows" sId="1"/>
    <undo index="65535" exp="area" ref3D="1" dr="$A$624:$XFD$645" dn="Z_1CA6CCC9_64EF_4CA9_9C9C_1E572976D134_.wvu.Rows" sId="1"/>
    <undo index="65535" exp="area" ref3D="1" dr="$A$559:$XFD$622" dn="Z_1CA6CCC9_64EF_4CA9_9C9C_1E572976D134_.wvu.Rows" sId="1"/>
    <undo index="65535" exp="area" ref3D="1" dr="$A$537:$XFD$557" dn="Z_1CA6CCC9_64EF_4CA9_9C9C_1E572976D134_.wvu.Rows" sId="1"/>
    <undo index="65535" exp="area" ref3D="1" dr="$A$530:$XFD$534" dn="Z_1CA6CCC9_64EF_4CA9_9C9C_1E572976D134_.wvu.Rows" sId="1"/>
    <undo index="65535" exp="area" ref3D="1" dr="$A$508:$XFD$527" dn="Z_1CA6CCC9_64EF_4CA9_9C9C_1E572976D134_.wvu.Rows" sId="1"/>
    <undo index="65535" exp="area" ref3D="1" dr="$A$429:$XFD$506" dn="Z_1CA6CCC9_64EF_4CA9_9C9C_1E572976D134_.wvu.Rows" sId="1"/>
  </rrc>
  <rrc rId="1143" sId="1" ref="A468:XFD468" action="insertRow">
    <undo index="65535" exp="area" ref3D="1" dr="$A$868:$XFD$870" dn="Z_1CA6CCC9_64EF_4CA9_9C9C_1E572976D134_.wvu.Rows" sId="1"/>
    <undo index="65535" exp="area" ref3D="1" dr="$A$863:$XFD$865" dn="Z_1CA6CCC9_64EF_4CA9_9C9C_1E572976D134_.wvu.Rows" sId="1"/>
    <undo index="65535" exp="area" ref3D="1" dr="$A$840:$XFD$860" dn="Z_1CA6CCC9_64EF_4CA9_9C9C_1E572976D134_.wvu.Rows" sId="1"/>
    <undo index="65535" exp="area" ref3D="1" dr="$A$820:$XFD$838" dn="Z_1CA6CCC9_64EF_4CA9_9C9C_1E572976D134_.wvu.Rows" sId="1"/>
    <undo index="65535" exp="area" ref3D="1" dr="$A$814:$XFD$818" dn="Z_1CA6CCC9_64EF_4CA9_9C9C_1E572976D134_.wvu.Rows" sId="1"/>
    <undo index="65535" exp="area" ref3D="1" dr="$A$782:$XFD$811" dn="Z_1CA6CCC9_64EF_4CA9_9C9C_1E572976D134_.wvu.Rows" sId="1"/>
    <undo index="65535" exp="area" ref3D="1" dr="$A$767:$XFD$780" dn="Z_1CA6CCC9_64EF_4CA9_9C9C_1E572976D134_.wvu.Rows" sId="1"/>
    <undo index="65535" exp="area" ref3D="1" dr="$A$763:$XFD$765" dn="Z_1CA6CCC9_64EF_4CA9_9C9C_1E572976D134_.wvu.Rows" sId="1"/>
    <undo index="65535" exp="area" ref3D="1" dr="$A$739:$XFD$760" dn="Z_1CA6CCC9_64EF_4CA9_9C9C_1E572976D134_.wvu.Rows" sId="1"/>
    <undo index="65535" exp="area" ref3D="1" dr="$A$718:$XFD$737" dn="Z_1CA6CCC9_64EF_4CA9_9C9C_1E572976D134_.wvu.Rows" sId="1"/>
    <undo index="65535" exp="area" ref3D="1" dr="$A$666:$XFD$715" dn="Z_1CA6CCC9_64EF_4CA9_9C9C_1E572976D134_.wvu.Rows" sId="1"/>
    <undo index="65535" exp="area" ref3D="1" dr="$A$648:$XFD$664" dn="Z_1CA6CCC9_64EF_4CA9_9C9C_1E572976D134_.wvu.Rows" sId="1"/>
    <undo index="65535" exp="area" ref3D="1" dr="$A$625:$XFD$646" dn="Z_1CA6CCC9_64EF_4CA9_9C9C_1E572976D134_.wvu.Rows" sId="1"/>
    <undo index="65535" exp="area" ref3D="1" dr="$A$560:$XFD$623" dn="Z_1CA6CCC9_64EF_4CA9_9C9C_1E572976D134_.wvu.Rows" sId="1"/>
    <undo index="65535" exp="area" ref3D="1" dr="$A$538:$XFD$558" dn="Z_1CA6CCC9_64EF_4CA9_9C9C_1E572976D134_.wvu.Rows" sId="1"/>
    <undo index="65535" exp="area" ref3D="1" dr="$A$531:$XFD$535" dn="Z_1CA6CCC9_64EF_4CA9_9C9C_1E572976D134_.wvu.Rows" sId="1"/>
    <undo index="65535" exp="area" ref3D="1" dr="$A$509:$XFD$528" dn="Z_1CA6CCC9_64EF_4CA9_9C9C_1E572976D134_.wvu.Rows" sId="1"/>
    <undo index="65535" exp="area" ref3D="1" dr="$A$429:$XFD$507" dn="Z_1CA6CCC9_64EF_4CA9_9C9C_1E572976D134_.wvu.Rows" sId="1"/>
  </rrc>
  <rcc rId="1144" sId="1" odxf="1" dxf="1">
    <nc r="A468" t="inlineStr">
      <is>
        <t>Благоустройство площадок для дрессировки и выгула собак</t>
      </is>
    </nc>
    <odxf>
      <font>
        <color auto="1"/>
        <family val="1"/>
      </font>
      <fill>
        <patternFill patternType="none">
          <bgColor indexed="65"/>
        </patternFill>
      </fill>
    </odxf>
    <ndxf>
      <font>
        <color auto="1"/>
        <family val="1"/>
      </font>
      <fill>
        <patternFill patternType="solid">
          <bgColor rgb="FFFFFF00"/>
        </patternFill>
      </fill>
    </ndxf>
  </rcc>
  <rcc rId="1145" sId="1" odxf="1" dxf="1">
    <nc r="A469" t="inlineStr">
      <is>
        <t>Закупка товаров, работ и услуг для обеспечения государственных (муниципальных) нужд</t>
      </is>
    </nc>
    <odxf>
      <font>
        <color auto="1"/>
        <family val="1"/>
      </font>
      <fill>
        <patternFill patternType="none">
          <bgColor indexed="65"/>
        </patternFill>
      </fill>
    </odxf>
    <ndxf>
      <font>
        <color auto="1"/>
        <family val="1"/>
      </font>
      <fill>
        <patternFill patternType="solid">
          <bgColor rgb="FFFFFF00"/>
        </patternFill>
      </fill>
    </ndxf>
  </rcc>
  <rcc rId="1146" sId="1" odxf="1" dxf="1">
    <nc r="B468" t="inlineStr">
      <is>
        <t>0503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47" sId="1" odxf="1" dxf="1">
    <nc r="C468" t="inlineStr">
      <is>
        <t>11 2 01 10789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fmt sheetId="1" sqref="D468" start="0" length="0">
    <dxf>
      <font>
        <sz val="12"/>
        <name val="Times New Roman"/>
        <family val="1"/>
      </font>
      <fill>
        <patternFill patternType="solid">
          <bgColor rgb="FFFFFF00"/>
        </patternFill>
      </fill>
    </dxf>
  </rfmt>
  <rcc rId="1148" sId="1" odxf="1" dxf="1">
    <nc r="B469" t="inlineStr">
      <is>
        <t>0503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49" sId="1" odxf="1" dxf="1">
    <nc r="C469" t="inlineStr">
      <is>
        <t>11 2 01 10789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50" sId="1" odxf="1" dxf="1">
    <nc r="D469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51" sId="1" numFmtId="4">
    <nc r="E469">
      <v>3259.3</v>
    </nc>
  </rcc>
  <rcc rId="1152" sId="1">
    <nc r="E468">
      <f>+E469</f>
    </nc>
  </rcc>
  <rcc rId="1153" sId="1">
    <nc r="F468">
      <f>+F469</f>
    </nc>
  </rcc>
  <rcc rId="1154" sId="1">
    <nc r="G468">
      <f>+G469</f>
    </nc>
  </rcc>
  <rrc rId="1155" sId="1" ref="A460:XFD460" action="insertRow">
    <undo index="65535" exp="area" ref3D="1" dr="$A$869:$XFD$871" dn="Z_1CA6CCC9_64EF_4CA9_9C9C_1E572976D134_.wvu.Rows" sId="1"/>
    <undo index="65535" exp="area" ref3D="1" dr="$A$864:$XFD$866" dn="Z_1CA6CCC9_64EF_4CA9_9C9C_1E572976D134_.wvu.Rows" sId="1"/>
    <undo index="65535" exp="area" ref3D="1" dr="$A$841:$XFD$861" dn="Z_1CA6CCC9_64EF_4CA9_9C9C_1E572976D134_.wvu.Rows" sId="1"/>
    <undo index="65535" exp="area" ref3D="1" dr="$A$821:$XFD$839" dn="Z_1CA6CCC9_64EF_4CA9_9C9C_1E572976D134_.wvu.Rows" sId="1"/>
    <undo index="65535" exp="area" ref3D="1" dr="$A$815:$XFD$819" dn="Z_1CA6CCC9_64EF_4CA9_9C9C_1E572976D134_.wvu.Rows" sId="1"/>
    <undo index="65535" exp="area" ref3D="1" dr="$A$783:$XFD$812" dn="Z_1CA6CCC9_64EF_4CA9_9C9C_1E572976D134_.wvu.Rows" sId="1"/>
    <undo index="65535" exp="area" ref3D="1" dr="$A$768:$XFD$781" dn="Z_1CA6CCC9_64EF_4CA9_9C9C_1E572976D134_.wvu.Rows" sId="1"/>
    <undo index="65535" exp="area" ref3D="1" dr="$A$764:$XFD$766" dn="Z_1CA6CCC9_64EF_4CA9_9C9C_1E572976D134_.wvu.Rows" sId="1"/>
    <undo index="65535" exp="area" ref3D="1" dr="$A$740:$XFD$761" dn="Z_1CA6CCC9_64EF_4CA9_9C9C_1E572976D134_.wvu.Rows" sId="1"/>
    <undo index="65535" exp="area" ref3D="1" dr="$A$719:$XFD$738" dn="Z_1CA6CCC9_64EF_4CA9_9C9C_1E572976D134_.wvu.Rows" sId="1"/>
    <undo index="65535" exp="area" ref3D="1" dr="$A$667:$XFD$716" dn="Z_1CA6CCC9_64EF_4CA9_9C9C_1E572976D134_.wvu.Rows" sId="1"/>
    <undo index="65535" exp="area" ref3D="1" dr="$A$649:$XFD$665" dn="Z_1CA6CCC9_64EF_4CA9_9C9C_1E572976D134_.wvu.Rows" sId="1"/>
    <undo index="65535" exp="area" ref3D="1" dr="$A$626:$XFD$647" dn="Z_1CA6CCC9_64EF_4CA9_9C9C_1E572976D134_.wvu.Rows" sId="1"/>
    <undo index="65535" exp="area" ref3D="1" dr="$A$561:$XFD$624" dn="Z_1CA6CCC9_64EF_4CA9_9C9C_1E572976D134_.wvu.Rows" sId="1"/>
    <undo index="65535" exp="area" ref3D="1" dr="$A$539:$XFD$559" dn="Z_1CA6CCC9_64EF_4CA9_9C9C_1E572976D134_.wvu.Rows" sId="1"/>
    <undo index="65535" exp="area" ref3D="1" dr="$A$532:$XFD$536" dn="Z_1CA6CCC9_64EF_4CA9_9C9C_1E572976D134_.wvu.Rows" sId="1"/>
    <undo index="65535" exp="area" ref3D="1" dr="$A$510:$XFD$529" dn="Z_1CA6CCC9_64EF_4CA9_9C9C_1E572976D134_.wvu.Rows" sId="1"/>
    <undo index="65535" exp="area" ref3D="1" dr="$A$429:$XFD$508" dn="Z_1CA6CCC9_64EF_4CA9_9C9C_1E572976D134_.wvu.Rows" sId="1"/>
  </rrc>
  <rrc rId="1156" sId="1" ref="A460:XFD460" action="insertRow">
    <undo index="65535" exp="area" ref3D="1" dr="$A$870:$XFD$872" dn="Z_1CA6CCC9_64EF_4CA9_9C9C_1E572976D134_.wvu.Rows" sId="1"/>
    <undo index="65535" exp="area" ref3D="1" dr="$A$865:$XFD$867" dn="Z_1CA6CCC9_64EF_4CA9_9C9C_1E572976D134_.wvu.Rows" sId="1"/>
    <undo index="65535" exp="area" ref3D="1" dr="$A$842:$XFD$862" dn="Z_1CA6CCC9_64EF_4CA9_9C9C_1E572976D134_.wvu.Rows" sId="1"/>
    <undo index="65535" exp="area" ref3D="1" dr="$A$822:$XFD$840" dn="Z_1CA6CCC9_64EF_4CA9_9C9C_1E572976D134_.wvu.Rows" sId="1"/>
    <undo index="65535" exp="area" ref3D="1" dr="$A$816:$XFD$820" dn="Z_1CA6CCC9_64EF_4CA9_9C9C_1E572976D134_.wvu.Rows" sId="1"/>
    <undo index="65535" exp="area" ref3D="1" dr="$A$784:$XFD$813" dn="Z_1CA6CCC9_64EF_4CA9_9C9C_1E572976D134_.wvu.Rows" sId="1"/>
    <undo index="65535" exp="area" ref3D="1" dr="$A$769:$XFD$782" dn="Z_1CA6CCC9_64EF_4CA9_9C9C_1E572976D134_.wvu.Rows" sId="1"/>
    <undo index="65535" exp="area" ref3D="1" dr="$A$765:$XFD$767" dn="Z_1CA6CCC9_64EF_4CA9_9C9C_1E572976D134_.wvu.Rows" sId="1"/>
    <undo index="65535" exp="area" ref3D="1" dr="$A$741:$XFD$762" dn="Z_1CA6CCC9_64EF_4CA9_9C9C_1E572976D134_.wvu.Rows" sId="1"/>
    <undo index="65535" exp="area" ref3D="1" dr="$A$720:$XFD$739" dn="Z_1CA6CCC9_64EF_4CA9_9C9C_1E572976D134_.wvu.Rows" sId="1"/>
    <undo index="65535" exp="area" ref3D="1" dr="$A$668:$XFD$717" dn="Z_1CA6CCC9_64EF_4CA9_9C9C_1E572976D134_.wvu.Rows" sId="1"/>
    <undo index="65535" exp="area" ref3D="1" dr="$A$650:$XFD$666" dn="Z_1CA6CCC9_64EF_4CA9_9C9C_1E572976D134_.wvu.Rows" sId="1"/>
    <undo index="65535" exp="area" ref3D="1" dr="$A$627:$XFD$648" dn="Z_1CA6CCC9_64EF_4CA9_9C9C_1E572976D134_.wvu.Rows" sId="1"/>
    <undo index="65535" exp="area" ref3D="1" dr="$A$562:$XFD$625" dn="Z_1CA6CCC9_64EF_4CA9_9C9C_1E572976D134_.wvu.Rows" sId="1"/>
    <undo index="65535" exp="area" ref3D="1" dr="$A$540:$XFD$560" dn="Z_1CA6CCC9_64EF_4CA9_9C9C_1E572976D134_.wvu.Rows" sId="1"/>
    <undo index="65535" exp="area" ref3D="1" dr="$A$533:$XFD$537" dn="Z_1CA6CCC9_64EF_4CA9_9C9C_1E572976D134_.wvu.Rows" sId="1"/>
    <undo index="65535" exp="area" ref3D="1" dr="$A$511:$XFD$530" dn="Z_1CA6CCC9_64EF_4CA9_9C9C_1E572976D134_.wvu.Rows" sId="1"/>
    <undo index="65535" exp="area" ref3D="1" dr="$A$429:$XFD$509" dn="Z_1CA6CCC9_64EF_4CA9_9C9C_1E572976D134_.wvu.Rows" sId="1"/>
  </rrc>
  <rcc rId="1157" sId="1" odxf="1" s="1" dxf="1">
    <nc r="A460" t="inlineStr">
      <is>
        <t>Благоустройство площадок для дрессировки и выгула собак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  <fill>
        <patternFill patternType="solid">
          <bgColor rgb="FFFFFF00"/>
        </patternFill>
      </fill>
      <alignment horizontal="left"/>
    </ndxf>
  </rcc>
  <rcc rId="1158" sId="1" odxf="1" dxf="1">
    <nc r="B460" t="inlineStr">
      <is>
        <t>0503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59" sId="1" odxf="1" dxf="1">
    <nc r="C460" t="inlineStr">
      <is>
        <t>11 2 01 10789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D460" start="0" length="0">
    <dxf>
      <fill>
        <patternFill patternType="solid">
          <bgColor rgb="FFFFFF00"/>
        </patternFill>
      </fill>
    </dxf>
  </rfmt>
  <rcc rId="1160" sId="1">
    <nc r="E460">
      <f>+E461</f>
    </nc>
  </rcc>
  <rcc rId="1161" sId="1">
    <nc r="F460">
      <f>+F461</f>
    </nc>
  </rcc>
  <rcc rId="1162" sId="1">
    <nc r="G460">
      <f>+G461</f>
    </nc>
  </rcc>
  <rcc rId="1163" sId="1" odxf="1" s="1" dxf="1">
    <nc r="A461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  <fill>
        <patternFill patternType="solid">
          <bgColor rgb="FFFFFF00"/>
        </patternFill>
      </fill>
      <alignment horizontal="left"/>
    </ndxf>
  </rcc>
  <rcc rId="1164" sId="1" odxf="1" dxf="1">
    <nc r="B461" t="inlineStr">
      <is>
        <t>0503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65" sId="1" odxf="1" dxf="1">
    <nc r="C461" t="inlineStr">
      <is>
        <t>11 2 01 10789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66" sId="1" odxf="1" dxf="1">
    <nc r="D461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67" sId="1" numFmtId="4">
    <nc r="E461">
      <v>3259.3</v>
    </nc>
  </rcc>
  <rrc rId="1168" sId="1" ref="A470:XFD470" action="deleteRow">
    <undo index="65535" exp="area" ref3D="1" dr="$A$871:$XFD$873" dn="Z_1CA6CCC9_64EF_4CA9_9C9C_1E572976D134_.wvu.Rows" sId="1"/>
    <undo index="65535" exp="area" ref3D="1" dr="$A$866:$XFD$868" dn="Z_1CA6CCC9_64EF_4CA9_9C9C_1E572976D134_.wvu.Rows" sId="1"/>
    <undo index="65535" exp="area" ref3D="1" dr="$A$843:$XFD$863" dn="Z_1CA6CCC9_64EF_4CA9_9C9C_1E572976D134_.wvu.Rows" sId="1"/>
    <undo index="65535" exp="area" ref3D="1" dr="$A$823:$XFD$841" dn="Z_1CA6CCC9_64EF_4CA9_9C9C_1E572976D134_.wvu.Rows" sId="1"/>
    <undo index="65535" exp="area" ref3D="1" dr="$A$817:$XFD$821" dn="Z_1CA6CCC9_64EF_4CA9_9C9C_1E572976D134_.wvu.Rows" sId="1"/>
    <undo index="65535" exp="area" ref3D="1" dr="$A$785:$XFD$814" dn="Z_1CA6CCC9_64EF_4CA9_9C9C_1E572976D134_.wvu.Rows" sId="1"/>
    <undo index="65535" exp="area" ref3D="1" dr="$A$770:$XFD$783" dn="Z_1CA6CCC9_64EF_4CA9_9C9C_1E572976D134_.wvu.Rows" sId="1"/>
    <undo index="65535" exp="area" ref3D="1" dr="$A$766:$XFD$768" dn="Z_1CA6CCC9_64EF_4CA9_9C9C_1E572976D134_.wvu.Rows" sId="1"/>
    <undo index="65535" exp="area" ref3D="1" dr="$A$742:$XFD$763" dn="Z_1CA6CCC9_64EF_4CA9_9C9C_1E572976D134_.wvu.Rows" sId="1"/>
    <undo index="65535" exp="area" ref3D="1" dr="$A$721:$XFD$740" dn="Z_1CA6CCC9_64EF_4CA9_9C9C_1E572976D134_.wvu.Rows" sId="1"/>
    <undo index="65535" exp="area" ref3D="1" dr="$A$669:$XFD$718" dn="Z_1CA6CCC9_64EF_4CA9_9C9C_1E572976D134_.wvu.Rows" sId="1"/>
    <undo index="65535" exp="area" ref3D="1" dr="$A$651:$XFD$667" dn="Z_1CA6CCC9_64EF_4CA9_9C9C_1E572976D134_.wvu.Rows" sId="1"/>
    <undo index="65535" exp="area" ref3D="1" dr="$A$628:$XFD$649" dn="Z_1CA6CCC9_64EF_4CA9_9C9C_1E572976D134_.wvu.Rows" sId="1"/>
    <undo index="65535" exp="area" ref3D="1" dr="$A$563:$XFD$626" dn="Z_1CA6CCC9_64EF_4CA9_9C9C_1E572976D134_.wvu.Rows" sId="1"/>
    <undo index="65535" exp="area" ref3D="1" dr="$A$541:$XFD$561" dn="Z_1CA6CCC9_64EF_4CA9_9C9C_1E572976D134_.wvu.Rows" sId="1"/>
    <undo index="65535" exp="area" ref3D="1" dr="$A$534:$XFD$538" dn="Z_1CA6CCC9_64EF_4CA9_9C9C_1E572976D134_.wvu.Rows" sId="1"/>
    <undo index="65535" exp="area" ref3D="1" dr="$A$512:$XFD$531" dn="Z_1CA6CCC9_64EF_4CA9_9C9C_1E572976D134_.wvu.Rows" sId="1"/>
    <undo index="65535" exp="area" ref3D="1" dr="$A$429:$XFD$510" dn="Z_1CA6CCC9_64EF_4CA9_9C9C_1E572976D134_.wvu.Rows" sId="1"/>
    <rfmt sheetId="1" xfDxf="1" sqref="A470:XFD470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0" t="inlineStr">
        <is>
          <t>Благоустройство площадок для дрессировки и выгула собак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rgb="FFFFFF00"/>
          </patternFill>
        </fill>
        <alignment wrapText="1"/>
      </ndxf>
    </rcc>
    <rcc rId="0" sId="1" s="1" dxf="1">
      <nc r="B470" t="inlineStr">
        <is>
          <t>0503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>
      <nc r="C470" t="inlineStr">
        <is>
          <t>11 2 01 10789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fmt sheetId="1" s="1" sqref="D470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dxf>
    </rfmt>
    <rcc rId="0" sId="1" s="1" dxf="1">
      <nc r="E470">
        <f>+E471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470">
        <f>+F471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470">
        <f>+G471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169" sId="1" ref="A470:XFD470" action="deleteRow">
    <undo index="65535" exp="area" ref3D="1" dr="$A$870:$XFD$872" dn="Z_1CA6CCC9_64EF_4CA9_9C9C_1E572976D134_.wvu.Rows" sId="1"/>
    <undo index="65535" exp="area" ref3D="1" dr="$A$865:$XFD$867" dn="Z_1CA6CCC9_64EF_4CA9_9C9C_1E572976D134_.wvu.Rows" sId="1"/>
    <undo index="65535" exp="area" ref3D="1" dr="$A$842:$XFD$862" dn="Z_1CA6CCC9_64EF_4CA9_9C9C_1E572976D134_.wvu.Rows" sId="1"/>
    <undo index="65535" exp="area" ref3D="1" dr="$A$822:$XFD$840" dn="Z_1CA6CCC9_64EF_4CA9_9C9C_1E572976D134_.wvu.Rows" sId="1"/>
    <undo index="65535" exp="area" ref3D="1" dr="$A$816:$XFD$820" dn="Z_1CA6CCC9_64EF_4CA9_9C9C_1E572976D134_.wvu.Rows" sId="1"/>
    <undo index="65535" exp="area" ref3D="1" dr="$A$784:$XFD$813" dn="Z_1CA6CCC9_64EF_4CA9_9C9C_1E572976D134_.wvu.Rows" sId="1"/>
    <undo index="65535" exp="area" ref3D="1" dr="$A$769:$XFD$782" dn="Z_1CA6CCC9_64EF_4CA9_9C9C_1E572976D134_.wvu.Rows" sId="1"/>
    <undo index="65535" exp="area" ref3D="1" dr="$A$765:$XFD$767" dn="Z_1CA6CCC9_64EF_4CA9_9C9C_1E572976D134_.wvu.Rows" sId="1"/>
    <undo index="65535" exp="area" ref3D="1" dr="$A$741:$XFD$762" dn="Z_1CA6CCC9_64EF_4CA9_9C9C_1E572976D134_.wvu.Rows" sId="1"/>
    <undo index="65535" exp="area" ref3D="1" dr="$A$720:$XFD$739" dn="Z_1CA6CCC9_64EF_4CA9_9C9C_1E572976D134_.wvu.Rows" sId="1"/>
    <undo index="65535" exp="area" ref3D="1" dr="$A$668:$XFD$717" dn="Z_1CA6CCC9_64EF_4CA9_9C9C_1E572976D134_.wvu.Rows" sId="1"/>
    <undo index="65535" exp="area" ref3D="1" dr="$A$650:$XFD$666" dn="Z_1CA6CCC9_64EF_4CA9_9C9C_1E572976D134_.wvu.Rows" sId="1"/>
    <undo index="65535" exp="area" ref3D="1" dr="$A$627:$XFD$648" dn="Z_1CA6CCC9_64EF_4CA9_9C9C_1E572976D134_.wvu.Rows" sId="1"/>
    <undo index="65535" exp="area" ref3D="1" dr="$A$562:$XFD$625" dn="Z_1CA6CCC9_64EF_4CA9_9C9C_1E572976D134_.wvu.Rows" sId="1"/>
    <undo index="65535" exp="area" ref3D="1" dr="$A$540:$XFD$560" dn="Z_1CA6CCC9_64EF_4CA9_9C9C_1E572976D134_.wvu.Rows" sId="1"/>
    <undo index="65535" exp="area" ref3D="1" dr="$A$533:$XFD$537" dn="Z_1CA6CCC9_64EF_4CA9_9C9C_1E572976D134_.wvu.Rows" sId="1"/>
    <undo index="65535" exp="area" ref3D="1" dr="$A$511:$XFD$530" dn="Z_1CA6CCC9_64EF_4CA9_9C9C_1E572976D134_.wvu.Rows" sId="1"/>
    <undo index="65535" exp="area" ref3D="1" dr="$A$429:$XFD$509" dn="Z_1CA6CCC9_64EF_4CA9_9C9C_1E572976D134_.wvu.Rows" sId="1"/>
    <rfmt sheetId="1" xfDxf="1" sqref="A470:XFD470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0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rgb="FFFFFF00"/>
          </patternFill>
        </fill>
        <alignment wrapText="1"/>
      </ndxf>
    </rcc>
    <rcc rId="0" sId="1" s="1" dxf="1">
      <nc r="B470" t="inlineStr">
        <is>
          <t>0503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>
      <nc r="C470" t="inlineStr">
        <is>
          <t>11 2 01 10789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>
      <nc r="D470" t="inlineStr">
        <is>
          <t>200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 numFmtId="4">
      <nc r="E470">
        <v>3259.3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fmt sheetId="1" s="1" sqref="F470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G470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cc rId="1170" sId="1">
    <oc r="E439">
      <f>E440+E444+E466+E468+E446+E448+E450+E452+E454+E442+E464+E456+E462+E458</f>
    </oc>
    <nc r="E439">
      <f>E440+E444+E466+E468+E446+E448+E450+E452+E454+E442+E464+E456+E462+E458+E460</f>
    </nc>
  </rcc>
  <rfmt sheetId="1" sqref="A460:D461">
    <dxf>
      <fill>
        <patternFill>
          <bgColor theme="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1" sId="1">
    <oc r="E484">
      <f>30000+67600</f>
    </oc>
    <nc r="E484">
      <f>30000+67600+17307.5</f>
    </nc>
  </rcc>
  <rcc rId="1172" sId="1">
    <oc r="E500">
      <f>190462.3+1061.8</f>
    </oc>
    <nc r="E500">
      <f>190462.3+1061.8+15491.3</f>
    </nc>
  </rcc>
  <rcc rId="1173" sId="1" numFmtId="4">
    <oc r="E508">
      <v>256430.9</v>
    </oc>
    <nc r="E508">
      <f>256430.9+18274.4</f>
    </nc>
  </rcc>
  <rcc rId="1174" sId="1" numFmtId="4">
    <oc r="E519">
      <v>87860.900000000023</v>
    </oc>
    <nc r="E519">
      <f>87860.9+2386.9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969"/>
  <sheetViews>
    <sheetView tabSelected="1" zoomScale="70" zoomScaleNormal="70" zoomScaleSheetLayoutView="74" workbookViewId="0">
      <selection activeCell="F3" sqref="F3:G3"/>
    </sheetView>
  </sheetViews>
  <sheetFormatPr defaultRowHeight="15.75" outlineLevelRow="2" x14ac:dyDescent="0.25"/>
  <cols>
    <col min="1" max="1" width="49.42578125" style="1" customWidth="1"/>
    <col min="2" max="2" width="8.7109375" style="2" customWidth="1"/>
    <col min="3" max="3" width="16.85546875" style="2" customWidth="1"/>
    <col min="4" max="4" width="7.140625" style="3" customWidth="1"/>
    <col min="5" max="5" width="15.7109375" style="3" customWidth="1"/>
    <col min="6" max="6" width="15.140625" style="3" customWidth="1"/>
    <col min="7" max="7" width="15.85546875" style="2" customWidth="1"/>
    <col min="8" max="16384" width="9.140625" style="4"/>
  </cols>
  <sheetData>
    <row r="1" spans="1:7" ht="55.5" customHeight="1" x14ac:dyDescent="0.25">
      <c r="F1" s="69" t="s">
        <v>779</v>
      </c>
      <c r="G1" s="69"/>
    </row>
    <row r="2" spans="1:7" ht="16.5" customHeight="1" x14ac:dyDescent="0.25">
      <c r="F2" s="5" t="s">
        <v>876</v>
      </c>
    </row>
    <row r="3" spans="1:7" ht="51.75" customHeight="1" x14ac:dyDescent="0.25">
      <c r="F3" s="69" t="s">
        <v>513</v>
      </c>
      <c r="G3" s="69"/>
    </row>
    <row r="4" spans="1:7" ht="13.5" customHeight="1" x14ac:dyDescent="0.25">
      <c r="E4" s="5"/>
      <c r="F4" s="5" t="s">
        <v>512</v>
      </c>
    </row>
    <row r="5" spans="1:7" ht="27" customHeight="1" x14ac:dyDescent="0.25">
      <c r="E5" s="5"/>
      <c r="F5" s="5"/>
    </row>
    <row r="6" spans="1:7" ht="48.75" customHeight="1" x14ac:dyDescent="0.25">
      <c r="A6" s="76" t="s">
        <v>289</v>
      </c>
      <c r="B6" s="76"/>
      <c r="C6" s="76"/>
      <c r="D6" s="76"/>
      <c r="E6" s="76"/>
      <c r="F6" s="76"/>
      <c r="G6" s="76"/>
    </row>
    <row r="7" spans="1:7" x14ac:dyDescent="0.25">
      <c r="A7" s="7"/>
      <c r="B7" s="6"/>
      <c r="C7" s="6"/>
      <c r="D7" s="6"/>
      <c r="E7" s="8"/>
      <c r="F7" s="6"/>
    </row>
    <row r="8" spans="1:7" x14ac:dyDescent="0.25">
      <c r="A8" s="9"/>
      <c r="B8" s="10"/>
      <c r="C8" s="10"/>
      <c r="G8" s="3" t="s">
        <v>0</v>
      </c>
    </row>
    <row r="9" spans="1:7" ht="16.5" customHeight="1" x14ac:dyDescent="0.25">
      <c r="A9" s="70" t="s">
        <v>1</v>
      </c>
      <c r="B9" s="71" t="s">
        <v>2</v>
      </c>
      <c r="C9" s="74" t="s">
        <v>3</v>
      </c>
      <c r="D9" s="74" t="s">
        <v>4</v>
      </c>
      <c r="E9" s="11" t="s">
        <v>138</v>
      </c>
      <c r="F9" s="72" t="s">
        <v>77</v>
      </c>
      <c r="G9" s="73"/>
    </row>
    <row r="10" spans="1:7" x14ac:dyDescent="0.25">
      <c r="A10" s="70"/>
      <c r="B10" s="71"/>
      <c r="C10" s="75"/>
      <c r="D10" s="75"/>
      <c r="E10" s="12" t="s">
        <v>637</v>
      </c>
      <c r="F10" s="13" t="s">
        <v>86</v>
      </c>
      <c r="G10" s="13" t="s">
        <v>141</v>
      </c>
    </row>
    <row r="11" spans="1:7" x14ac:dyDescent="0.25">
      <c r="A11" s="14" t="s">
        <v>5</v>
      </c>
      <c r="B11" s="15" t="s">
        <v>6</v>
      </c>
      <c r="C11" s="15"/>
      <c r="D11" s="16"/>
      <c r="E11" s="17">
        <f>E12+E16+E29+E47+E53+E59+E69+E63</f>
        <v>1240302.5</v>
      </c>
      <c r="F11" s="17">
        <f t="shared" ref="F11:G11" si="0">F12+F16+F29+F47+F53+F59+F69+F63</f>
        <v>1037785.3</v>
      </c>
      <c r="G11" s="17">
        <f t="shared" si="0"/>
        <v>1017509.3</v>
      </c>
    </row>
    <row r="12" spans="1:7" ht="47.25" outlineLevel="1" x14ac:dyDescent="0.25">
      <c r="A12" s="18" t="s">
        <v>27</v>
      </c>
      <c r="B12" s="19" t="s">
        <v>28</v>
      </c>
      <c r="C12" s="19"/>
      <c r="D12" s="10"/>
      <c r="E12" s="20">
        <f>E13</f>
        <v>4059</v>
      </c>
      <c r="F12" s="20">
        <f t="shared" ref="F12:G14" si="1">F13</f>
        <v>4001.6</v>
      </c>
      <c r="G12" s="20">
        <f t="shared" si="1"/>
        <v>4001.6</v>
      </c>
    </row>
    <row r="13" spans="1:7" outlineLevel="2" x14ac:dyDescent="0.25">
      <c r="A13" s="18" t="s">
        <v>9</v>
      </c>
      <c r="B13" s="19" t="s">
        <v>28</v>
      </c>
      <c r="C13" s="19" t="s">
        <v>10</v>
      </c>
      <c r="D13" s="10"/>
      <c r="E13" s="20">
        <f>E14</f>
        <v>4059</v>
      </c>
      <c r="F13" s="20">
        <f t="shared" si="1"/>
        <v>4001.6</v>
      </c>
      <c r="G13" s="20">
        <f t="shared" si="1"/>
        <v>4001.6</v>
      </c>
    </row>
    <row r="14" spans="1:7" outlineLevel="2" x14ac:dyDescent="0.25">
      <c r="A14" s="18" t="s">
        <v>29</v>
      </c>
      <c r="B14" s="19" t="s">
        <v>28</v>
      </c>
      <c r="C14" s="19" t="s">
        <v>30</v>
      </c>
      <c r="D14" s="10"/>
      <c r="E14" s="20">
        <f>E15</f>
        <v>4059</v>
      </c>
      <c r="F14" s="20">
        <f t="shared" si="1"/>
        <v>4001.6</v>
      </c>
      <c r="G14" s="20">
        <f t="shared" si="1"/>
        <v>4001.6</v>
      </c>
    </row>
    <row r="15" spans="1:7" ht="94.5" outlineLevel="2" x14ac:dyDescent="0.25">
      <c r="A15" s="18" t="s">
        <v>13</v>
      </c>
      <c r="B15" s="19" t="s">
        <v>28</v>
      </c>
      <c r="C15" s="19" t="s">
        <v>30</v>
      </c>
      <c r="D15" s="10">
        <v>100</v>
      </c>
      <c r="E15" s="20">
        <v>4059</v>
      </c>
      <c r="F15" s="20">
        <v>4001.6</v>
      </c>
      <c r="G15" s="20">
        <v>4001.6</v>
      </c>
    </row>
    <row r="16" spans="1:7" ht="63" outlineLevel="1" x14ac:dyDescent="0.25">
      <c r="A16" s="21" t="s">
        <v>7</v>
      </c>
      <c r="B16" s="19" t="s">
        <v>8</v>
      </c>
      <c r="C16" s="19"/>
      <c r="D16" s="10"/>
      <c r="E16" s="20">
        <f>E17</f>
        <v>49985.100000000006</v>
      </c>
      <c r="F16" s="3">
        <f>F17</f>
        <v>53167.399999999994</v>
      </c>
      <c r="G16" s="22">
        <f>G17</f>
        <v>53167.399999999994</v>
      </c>
    </row>
    <row r="17" spans="1:7" outlineLevel="2" x14ac:dyDescent="0.25">
      <c r="A17" s="21" t="s">
        <v>9</v>
      </c>
      <c r="B17" s="19" t="s">
        <v>8</v>
      </c>
      <c r="C17" s="19" t="s">
        <v>10</v>
      </c>
      <c r="D17" s="10"/>
      <c r="E17" s="20">
        <f>E18+E20+E22+E24+E27</f>
        <v>49985.100000000006</v>
      </c>
      <c r="F17" s="20">
        <f>F18+F20+F22+F24+F27</f>
        <v>53167.399999999994</v>
      </c>
      <c r="G17" s="22">
        <f>G18+G20+G22+G24+G27</f>
        <v>53167.399999999994</v>
      </c>
    </row>
    <row r="18" spans="1:7" ht="31.5" outlineLevel="2" x14ac:dyDescent="0.25">
      <c r="A18" s="21" t="s">
        <v>11</v>
      </c>
      <c r="B18" s="19" t="s">
        <v>8</v>
      </c>
      <c r="C18" s="19" t="s">
        <v>12</v>
      </c>
      <c r="D18" s="10"/>
      <c r="E18" s="20">
        <f>E19</f>
        <v>4059</v>
      </c>
      <c r="F18" s="3">
        <f>F19</f>
        <v>4001.6</v>
      </c>
      <c r="G18" s="22">
        <f>G19</f>
        <v>4001.6</v>
      </c>
    </row>
    <row r="19" spans="1:7" ht="94.5" outlineLevel="2" x14ac:dyDescent="0.25">
      <c r="A19" s="21" t="s">
        <v>13</v>
      </c>
      <c r="B19" s="19" t="s">
        <v>8</v>
      </c>
      <c r="C19" s="19" t="s">
        <v>12</v>
      </c>
      <c r="D19" s="10">
        <v>100</v>
      </c>
      <c r="E19" s="20">
        <f>4059.1-0.1</f>
        <v>4059</v>
      </c>
      <c r="F19" s="20">
        <v>4001.6</v>
      </c>
      <c r="G19" s="22">
        <v>4001.6</v>
      </c>
    </row>
    <row r="20" spans="1:7" ht="31.5" outlineLevel="2" x14ac:dyDescent="0.25">
      <c r="A20" s="21" t="s">
        <v>14</v>
      </c>
      <c r="B20" s="19" t="s">
        <v>8</v>
      </c>
      <c r="C20" s="19" t="s">
        <v>15</v>
      </c>
      <c r="D20" s="10"/>
      <c r="E20" s="20">
        <f>E21</f>
        <v>2635.2000000000003</v>
      </c>
      <c r="F20" s="3">
        <f>F21</f>
        <v>3265.3</v>
      </c>
      <c r="G20" s="22">
        <f>G21</f>
        <v>3265.3</v>
      </c>
    </row>
    <row r="21" spans="1:7" ht="94.5" outlineLevel="2" x14ac:dyDescent="0.25">
      <c r="A21" s="21" t="s">
        <v>13</v>
      </c>
      <c r="B21" s="19" t="s">
        <v>8</v>
      </c>
      <c r="C21" s="19" t="s">
        <v>15</v>
      </c>
      <c r="D21" s="10">
        <v>100</v>
      </c>
      <c r="E21" s="20">
        <v>2635.2000000000003</v>
      </c>
      <c r="F21" s="20">
        <v>3265.3</v>
      </c>
      <c r="G21" s="22">
        <v>3265.3</v>
      </c>
    </row>
    <row r="22" spans="1:7" ht="31.5" outlineLevel="2" x14ac:dyDescent="0.25">
      <c r="A22" s="21" t="s">
        <v>16</v>
      </c>
      <c r="B22" s="19" t="s">
        <v>8</v>
      </c>
      <c r="C22" s="19" t="s">
        <v>17</v>
      </c>
      <c r="D22" s="10"/>
      <c r="E22" s="20">
        <f>E23</f>
        <v>2863.2999999999997</v>
      </c>
      <c r="F22" s="3">
        <f>F23</f>
        <v>3035.7</v>
      </c>
      <c r="G22" s="22">
        <f>G23</f>
        <v>3035.7</v>
      </c>
    </row>
    <row r="23" spans="1:7" ht="94.5" outlineLevel="2" x14ac:dyDescent="0.25">
      <c r="A23" s="21" t="s">
        <v>13</v>
      </c>
      <c r="B23" s="19" t="s">
        <v>8</v>
      </c>
      <c r="C23" s="19" t="s">
        <v>17</v>
      </c>
      <c r="D23" s="10">
        <v>100</v>
      </c>
      <c r="E23" s="20">
        <v>2863.2999999999997</v>
      </c>
      <c r="F23" s="20">
        <v>3035.7</v>
      </c>
      <c r="G23" s="22">
        <v>3035.7</v>
      </c>
    </row>
    <row r="24" spans="1:7" ht="31.5" outlineLevel="2" x14ac:dyDescent="0.25">
      <c r="A24" s="9" t="s">
        <v>18</v>
      </c>
      <c r="B24" s="19" t="s">
        <v>8</v>
      </c>
      <c r="C24" s="19" t="s">
        <v>19</v>
      </c>
      <c r="D24" s="10"/>
      <c r="E24" s="20">
        <f>E25+E26</f>
        <v>28984.100000000002</v>
      </c>
      <c r="F24" s="3">
        <f>F25+F26</f>
        <v>28186</v>
      </c>
      <c r="G24" s="22">
        <f>G25+G26</f>
        <v>28186</v>
      </c>
    </row>
    <row r="25" spans="1:7" ht="94.5" outlineLevel="2" x14ac:dyDescent="0.25">
      <c r="A25" s="21" t="s">
        <v>13</v>
      </c>
      <c r="B25" s="19" t="s">
        <v>8</v>
      </c>
      <c r="C25" s="19" t="s">
        <v>19</v>
      </c>
      <c r="D25" s="10">
        <v>100</v>
      </c>
      <c r="E25" s="20">
        <v>27151.200000000001</v>
      </c>
      <c r="F25" s="20">
        <v>26580.2</v>
      </c>
      <c r="G25" s="22">
        <v>26580.2</v>
      </c>
    </row>
    <row r="26" spans="1:7" ht="31.5" outlineLevel="2" x14ac:dyDescent="0.25">
      <c r="A26" s="21" t="s">
        <v>76</v>
      </c>
      <c r="B26" s="19" t="s">
        <v>8</v>
      </c>
      <c r="C26" s="19" t="s">
        <v>19</v>
      </c>
      <c r="D26" s="10">
        <v>200</v>
      </c>
      <c r="E26" s="20">
        <v>1832.9</v>
      </c>
      <c r="F26" s="3">
        <v>1605.8</v>
      </c>
      <c r="G26" s="22">
        <v>1605.8</v>
      </c>
    </row>
    <row r="27" spans="1:7" ht="31.5" outlineLevel="2" x14ac:dyDescent="0.25">
      <c r="A27" s="21" t="s">
        <v>21</v>
      </c>
      <c r="B27" s="19" t="s">
        <v>8</v>
      </c>
      <c r="C27" s="19" t="s">
        <v>22</v>
      </c>
      <c r="D27" s="10"/>
      <c r="E27" s="20">
        <f>E28</f>
        <v>11443.5</v>
      </c>
      <c r="F27" s="20">
        <f>F28</f>
        <v>14678.8</v>
      </c>
      <c r="G27" s="22">
        <f>G28</f>
        <v>14678.8</v>
      </c>
    </row>
    <row r="28" spans="1:7" ht="94.5" outlineLevel="2" x14ac:dyDescent="0.25">
      <c r="A28" s="21" t="s">
        <v>13</v>
      </c>
      <c r="B28" s="19" t="s">
        <v>8</v>
      </c>
      <c r="C28" s="19" t="s">
        <v>22</v>
      </c>
      <c r="D28" s="10">
        <v>100</v>
      </c>
      <c r="E28" s="20">
        <f>11663.3-219.8</f>
        <v>11443.5</v>
      </c>
      <c r="F28" s="3">
        <v>14678.8</v>
      </c>
      <c r="G28" s="22">
        <v>14678.8</v>
      </c>
    </row>
    <row r="29" spans="1:7" ht="63" outlineLevel="1" x14ac:dyDescent="0.25">
      <c r="A29" s="18" t="s">
        <v>633</v>
      </c>
      <c r="B29" s="19" t="s">
        <v>31</v>
      </c>
      <c r="C29" s="19"/>
      <c r="D29" s="10"/>
      <c r="E29" s="20">
        <f t="shared" ref="E29:G29" si="2">E30</f>
        <v>481074.9</v>
      </c>
      <c r="F29" s="20">
        <f t="shared" si="2"/>
        <v>439011.30000000005</v>
      </c>
      <c r="G29" s="20">
        <f t="shared" si="2"/>
        <v>394909.4</v>
      </c>
    </row>
    <row r="30" spans="1:7" outlineLevel="2" x14ac:dyDescent="0.25">
      <c r="A30" s="18" t="s">
        <v>9</v>
      </c>
      <c r="B30" s="19" t="s">
        <v>31</v>
      </c>
      <c r="C30" s="19" t="s">
        <v>10</v>
      </c>
      <c r="D30" s="10"/>
      <c r="E30" s="20">
        <f>E31+E36</f>
        <v>481074.9</v>
      </c>
      <c r="F30" s="3">
        <f t="shared" ref="F30:G30" si="3">F31+F36</f>
        <v>439011.30000000005</v>
      </c>
      <c r="G30" s="20">
        <f t="shared" si="3"/>
        <v>394909.4</v>
      </c>
    </row>
    <row r="31" spans="1:7" ht="53.25" customHeight="1" outlineLevel="2" x14ac:dyDescent="0.25">
      <c r="A31" s="23" t="s">
        <v>159</v>
      </c>
      <c r="B31" s="19" t="s">
        <v>31</v>
      </c>
      <c r="C31" s="19" t="s">
        <v>32</v>
      </c>
      <c r="D31" s="10"/>
      <c r="E31" s="20">
        <f>E32+E33+E34+E35</f>
        <v>464915.9</v>
      </c>
      <c r="F31" s="20">
        <f t="shared" ref="F31:G31" si="4">F32+F33+F34+F35</f>
        <v>421493.80000000005</v>
      </c>
      <c r="G31" s="20">
        <f t="shared" si="4"/>
        <v>377467.80000000005</v>
      </c>
    </row>
    <row r="32" spans="1:7" ht="94.5" outlineLevel="2" x14ac:dyDescent="0.25">
      <c r="A32" s="18" t="s">
        <v>13</v>
      </c>
      <c r="B32" s="19" t="s">
        <v>31</v>
      </c>
      <c r="C32" s="19" t="s">
        <v>32</v>
      </c>
      <c r="D32" s="10">
        <v>100</v>
      </c>
      <c r="E32" s="20">
        <f>376021.1+79.2+16603.9</f>
        <v>392704.2</v>
      </c>
      <c r="F32" s="3">
        <v>354667</v>
      </c>
      <c r="G32" s="20">
        <v>354667.9</v>
      </c>
    </row>
    <row r="33" spans="1:7" ht="31.5" outlineLevel="2" x14ac:dyDescent="0.25">
      <c r="A33" s="18" t="s">
        <v>76</v>
      </c>
      <c r="B33" s="19" t="s">
        <v>31</v>
      </c>
      <c r="C33" s="19" t="s">
        <v>32</v>
      </c>
      <c r="D33" s="10">
        <v>200</v>
      </c>
      <c r="E33" s="20">
        <f>49803.4+106.6+15313+866</f>
        <v>66089</v>
      </c>
      <c r="F33" s="20">
        <f>60869.3+2284.1</f>
        <v>63153.4</v>
      </c>
      <c r="G33" s="20">
        <v>19126.5</v>
      </c>
    </row>
    <row r="34" spans="1:7" ht="31.5" outlineLevel="2" x14ac:dyDescent="0.25">
      <c r="A34" s="18" t="s">
        <v>20</v>
      </c>
      <c r="B34" s="19" t="s">
        <v>31</v>
      </c>
      <c r="C34" s="19" t="s">
        <v>32</v>
      </c>
      <c r="D34" s="10">
        <v>300</v>
      </c>
      <c r="E34" s="20">
        <f>1000+1092.9+559.3+797.1</f>
        <v>3449.2999999999997</v>
      </c>
      <c r="F34" s="3">
        <v>1000</v>
      </c>
      <c r="G34" s="20">
        <v>1000</v>
      </c>
    </row>
    <row r="35" spans="1:7" outlineLevel="2" x14ac:dyDescent="0.25">
      <c r="A35" s="23" t="s">
        <v>33</v>
      </c>
      <c r="B35" s="19" t="s">
        <v>31</v>
      </c>
      <c r="C35" s="19" t="s">
        <v>32</v>
      </c>
      <c r="D35" s="10">
        <v>800</v>
      </c>
      <c r="E35" s="20">
        <v>2673.4</v>
      </c>
      <c r="F35" s="20">
        <v>2673.4</v>
      </c>
      <c r="G35" s="20">
        <v>2673.4</v>
      </c>
    </row>
    <row r="36" spans="1:7" ht="31.5" outlineLevel="2" x14ac:dyDescent="0.25">
      <c r="A36" s="23" t="s">
        <v>34</v>
      </c>
      <c r="B36" s="24" t="s">
        <v>31</v>
      </c>
      <c r="C36" s="24" t="s">
        <v>35</v>
      </c>
      <c r="D36" s="19"/>
      <c r="E36" s="20">
        <f>E37+E39+E41+E44</f>
        <v>16159</v>
      </c>
      <c r="F36" s="3">
        <f t="shared" ref="F36:G36" si="5">F37+F39+F41+F44</f>
        <v>17517.5</v>
      </c>
      <c r="G36" s="20">
        <f t="shared" si="5"/>
        <v>17441.599999999999</v>
      </c>
    </row>
    <row r="37" spans="1:7" ht="94.5" outlineLevel="2" x14ac:dyDescent="0.25">
      <c r="A37" s="18" t="s">
        <v>79</v>
      </c>
      <c r="B37" s="19" t="s">
        <v>31</v>
      </c>
      <c r="C37" s="25" t="s">
        <v>36</v>
      </c>
      <c r="D37" s="10"/>
      <c r="E37" s="20">
        <f>E38</f>
        <v>6869.7</v>
      </c>
      <c r="F37" s="20">
        <f t="shared" ref="F37:G37" si="6">F38</f>
        <v>6869.7</v>
      </c>
      <c r="G37" s="20">
        <f t="shared" si="6"/>
        <v>6869.7</v>
      </c>
    </row>
    <row r="38" spans="1:7" ht="94.5" outlineLevel="2" x14ac:dyDescent="0.25">
      <c r="A38" s="18" t="s">
        <v>13</v>
      </c>
      <c r="B38" s="19" t="s">
        <v>31</v>
      </c>
      <c r="C38" s="25" t="s">
        <v>36</v>
      </c>
      <c r="D38" s="10">
        <v>100</v>
      </c>
      <c r="E38" s="20">
        <v>6869.7</v>
      </c>
      <c r="F38" s="3">
        <v>6869.7</v>
      </c>
      <c r="G38" s="20">
        <v>6869.7</v>
      </c>
    </row>
    <row r="39" spans="1:7" ht="126" outlineLevel="2" x14ac:dyDescent="0.25">
      <c r="A39" s="18" t="s">
        <v>87</v>
      </c>
      <c r="B39" s="19" t="s">
        <v>31</v>
      </c>
      <c r="C39" s="19" t="s">
        <v>37</v>
      </c>
      <c r="D39" s="19"/>
      <c r="E39" s="20">
        <f>E40</f>
        <v>3813.2</v>
      </c>
      <c r="F39" s="20">
        <f t="shared" ref="F39:G39" si="7">F40</f>
        <v>3813.2</v>
      </c>
      <c r="G39" s="20">
        <f t="shared" si="7"/>
        <v>3813.2</v>
      </c>
    </row>
    <row r="40" spans="1:7" ht="94.5" outlineLevel="2" x14ac:dyDescent="0.25">
      <c r="A40" s="18" t="s">
        <v>13</v>
      </c>
      <c r="B40" s="19" t="s">
        <v>31</v>
      </c>
      <c r="C40" s="19" t="s">
        <v>37</v>
      </c>
      <c r="D40" s="19" t="s">
        <v>38</v>
      </c>
      <c r="E40" s="20">
        <v>3813.2</v>
      </c>
      <c r="F40" s="3">
        <f>3799.1+14.1</f>
        <v>3813.2</v>
      </c>
      <c r="G40" s="20">
        <f>3799.1+14.1</f>
        <v>3813.2</v>
      </c>
    </row>
    <row r="41" spans="1:7" ht="94.5" outlineLevel="2" x14ac:dyDescent="0.25">
      <c r="A41" s="18" t="s">
        <v>82</v>
      </c>
      <c r="B41" s="19" t="s">
        <v>31</v>
      </c>
      <c r="C41" s="19" t="s">
        <v>78</v>
      </c>
      <c r="D41" s="19"/>
      <c r="E41" s="20">
        <f>E42+E43</f>
        <v>0</v>
      </c>
      <c r="F41" s="20">
        <f t="shared" ref="F41:G41" si="8">F42+F43</f>
        <v>1358.5</v>
      </c>
      <c r="G41" s="20">
        <f t="shared" si="8"/>
        <v>1282.5999999999999</v>
      </c>
    </row>
    <row r="42" spans="1:7" ht="94.5" outlineLevel="2" x14ac:dyDescent="0.25">
      <c r="A42" s="18" t="s">
        <v>13</v>
      </c>
      <c r="B42" s="19" t="s">
        <v>31</v>
      </c>
      <c r="C42" s="19" t="s">
        <v>78</v>
      </c>
      <c r="D42" s="19" t="s">
        <v>38</v>
      </c>
      <c r="E42" s="20">
        <v>0</v>
      </c>
      <c r="F42" s="3">
        <v>1282.5999999999999</v>
      </c>
      <c r="G42" s="20">
        <v>1282.5999999999999</v>
      </c>
    </row>
    <row r="43" spans="1:7" ht="31.5" outlineLevel="2" x14ac:dyDescent="0.25">
      <c r="A43" s="18" t="s">
        <v>76</v>
      </c>
      <c r="B43" s="19" t="s">
        <v>31</v>
      </c>
      <c r="C43" s="19" t="s">
        <v>78</v>
      </c>
      <c r="D43" s="19" t="s">
        <v>39</v>
      </c>
      <c r="E43" s="20">
        <v>0</v>
      </c>
      <c r="F43" s="20">
        <v>75.900000000000006</v>
      </c>
      <c r="G43" s="20">
        <f>75.9-75.9</f>
        <v>0</v>
      </c>
    </row>
    <row r="44" spans="1:7" ht="63" outlineLevel="2" x14ac:dyDescent="0.25">
      <c r="A44" s="18" t="s">
        <v>80</v>
      </c>
      <c r="B44" s="19" t="s">
        <v>31</v>
      </c>
      <c r="C44" s="25" t="s">
        <v>40</v>
      </c>
      <c r="D44" s="10"/>
      <c r="E44" s="20">
        <f>E45+E46</f>
        <v>5476.1</v>
      </c>
      <c r="F44" s="3">
        <f t="shared" ref="F44" si="9">F45+F46</f>
        <v>5476.1</v>
      </c>
      <c r="G44" s="20">
        <f>G45+G46</f>
        <v>5476.1</v>
      </c>
    </row>
    <row r="45" spans="1:7" ht="94.5" outlineLevel="2" x14ac:dyDescent="0.25">
      <c r="A45" s="18" t="s">
        <v>13</v>
      </c>
      <c r="B45" s="19" t="s">
        <v>31</v>
      </c>
      <c r="C45" s="25" t="s">
        <v>40</v>
      </c>
      <c r="D45" s="10">
        <v>100</v>
      </c>
      <c r="E45" s="20">
        <v>5443.3</v>
      </c>
      <c r="F45" s="20">
        <f>5192.8+250.5</f>
        <v>5443.3</v>
      </c>
      <c r="G45" s="20">
        <f>5192.8+250.5</f>
        <v>5443.3</v>
      </c>
    </row>
    <row r="46" spans="1:7" ht="31.5" outlineLevel="2" x14ac:dyDescent="0.25">
      <c r="A46" s="18" t="s">
        <v>76</v>
      </c>
      <c r="B46" s="19" t="s">
        <v>31</v>
      </c>
      <c r="C46" s="25" t="s">
        <v>40</v>
      </c>
      <c r="D46" s="10">
        <v>200</v>
      </c>
      <c r="E46" s="20">
        <v>32.800000000000011</v>
      </c>
      <c r="F46" s="3">
        <f>209-176.2</f>
        <v>32.800000000000011</v>
      </c>
      <c r="G46" s="20">
        <f>209-176.2</f>
        <v>32.800000000000011</v>
      </c>
    </row>
    <row r="47" spans="1:7" outlineLevel="1" x14ac:dyDescent="0.25">
      <c r="A47" s="26" t="s">
        <v>41</v>
      </c>
      <c r="B47" s="27" t="s">
        <v>42</v>
      </c>
      <c r="C47" s="28"/>
      <c r="D47" s="10"/>
      <c r="E47" s="20">
        <f>E48</f>
        <v>17.7</v>
      </c>
      <c r="F47" s="20">
        <f t="shared" ref="F47:G49" si="10">F48</f>
        <v>372.9</v>
      </c>
      <c r="G47" s="20">
        <f t="shared" si="10"/>
        <v>17.399999999999977</v>
      </c>
    </row>
    <row r="48" spans="1:7" outlineLevel="2" x14ac:dyDescent="0.25">
      <c r="A48" s="18" t="s">
        <v>9</v>
      </c>
      <c r="B48" s="27" t="s">
        <v>42</v>
      </c>
      <c r="C48" s="19" t="s">
        <v>10</v>
      </c>
      <c r="D48" s="10"/>
      <c r="E48" s="20">
        <f>E49</f>
        <v>17.7</v>
      </c>
      <c r="F48" s="3">
        <f t="shared" si="10"/>
        <v>372.9</v>
      </c>
      <c r="G48" s="20">
        <f t="shared" si="10"/>
        <v>17.399999999999977</v>
      </c>
    </row>
    <row r="49" spans="1:7" ht="31.5" outlineLevel="2" x14ac:dyDescent="0.25">
      <c r="A49" s="29" t="s">
        <v>34</v>
      </c>
      <c r="B49" s="27" t="s">
        <v>42</v>
      </c>
      <c r="C49" s="27" t="s">
        <v>35</v>
      </c>
      <c r="D49" s="10"/>
      <c r="E49" s="20">
        <f>E50</f>
        <v>17.7</v>
      </c>
      <c r="F49" s="20">
        <f t="shared" si="10"/>
        <v>372.9</v>
      </c>
      <c r="G49" s="20">
        <f t="shared" si="10"/>
        <v>17.399999999999977</v>
      </c>
    </row>
    <row r="50" spans="1:7" ht="63" outlineLevel="2" x14ac:dyDescent="0.25">
      <c r="A50" s="23" t="s">
        <v>81</v>
      </c>
      <c r="B50" s="27" t="s">
        <v>42</v>
      </c>
      <c r="C50" s="28" t="s">
        <v>43</v>
      </c>
      <c r="D50" s="10"/>
      <c r="E50" s="20">
        <f>E51+E52</f>
        <v>17.7</v>
      </c>
      <c r="F50" s="3">
        <f t="shared" ref="F50:G50" si="11">F51+F52</f>
        <v>372.9</v>
      </c>
      <c r="G50" s="3">
        <f t="shared" si="11"/>
        <v>17.399999999999977</v>
      </c>
    </row>
    <row r="51" spans="1:7" ht="31.5" outlineLevel="2" x14ac:dyDescent="0.25">
      <c r="A51" s="18" t="s">
        <v>76</v>
      </c>
      <c r="B51" s="19" t="s">
        <v>42</v>
      </c>
      <c r="C51" s="19" t="s">
        <v>43</v>
      </c>
      <c r="D51" s="19" t="s">
        <v>39</v>
      </c>
      <c r="E51" s="20">
        <v>6.7</v>
      </c>
      <c r="F51" s="3">
        <v>0</v>
      </c>
      <c r="G51" s="20">
        <v>0</v>
      </c>
    </row>
    <row r="52" spans="1:7" ht="39" customHeight="1" outlineLevel="2" x14ac:dyDescent="0.25">
      <c r="A52" s="23" t="s">
        <v>44</v>
      </c>
      <c r="B52" s="27" t="s">
        <v>42</v>
      </c>
      <c r="C52" s="28" t="s">
        <v>43</v>
      </c>
      <c r="D52" s="10">
        <v>600</v>
      </c>
      <c r="E52" s="20">
        <v>11</v>
      </c>
      <c r="F52" s="20">
        <f>610-237.1</f>
        <v>372.9</v>
      </c>
      <c r="G52" s="20">
        <f>610-592.6</f>
        <v>17.399999999999977</v>
      </c>
    </row>
    <row r="53" spans="1:7" ht="47.25" outlineLevel="1" x14ac:dyDescent="0.25">
      <c r="A53" s="21" t="s">
        <v>61</v>
      </c>
      <c r="B53" s="19" t="s">
        <v>62</v>
      </c>
      <c r="C53" s="19"/>
      <c r="D53" s="10"/>
      <c r="E53" s="20">
        <f t="shared" ref="E53:G54" si="12">E54</f>
        <v>101249.1</v>
      </c>
      <c r="F53" s="3">
        <f t="shared" si="12"/>
        <v>94834</v>
      </c>
      <c r="G53" s="20">
        <f t="shared" si="12"/>
        <v>95202.3</v>
      </c>
    </row>
    <row r="54" spans="1:7" outlineLevel="2" x14ac:dyDescent="0.25">
      <c r="A54" s="21" t="s">
        <v>9</v>
      </c>
      <c r="B54" s="19" t="s">
        <v>62</v>
      </c>
      <c r="C54" s="19" t="s">
        <v>10</v>
      </c>
      <c r="D54" s="10"/>
      <c r="E54" s="20">
        <f t="shared" si="12"/>
        <v>101249.1</v>
      </c>
      <c r="F54" s="20">
        <f t="shared" si="12"/>
        <v>94834</v>
      </c>
      <c r="G54" s="20">
        <f t="shared" si="12"/>
        <v>95202.3</v>
      </c>
    </row>
    <row r="55" spans="1:7" ht="47.25" outlineLevel="2" x14ac:dyDescent="0.25">
      <c r="A55" s="23" t="s">
        <v>159</v>
      </c>
      <c r="B55" s="19" t="s">
        <v>62</v>
      </c>
      <c r="C55" s="19" t="s">
        <v>32</v>
      </c>
      <c r="D55" s="10"/>
      <c r="E55" s="20">
        <f>E56+E57+E58</f>
        <v>101249.1</v>
      </c>
      <c r="F55" s="3">
        <f>F56+F57+F58</f>
        <v>94834</v>
      </c>
      <c r="G55" s="20">
        <f>G56+G57+G58</f>
        <v>95202.3</v>
      </c>
    </row>
    <row r="56" spans="1:7" ht="94.5" outlineLevel="2" x14ac:dyDescent="0.25">
      <c r="A56" s="21" t="s">
        <v>13</v>
      </c>
      <c r="B56" s="19" t="s">
        <v>62</v>
      </c>
      <c r="C56" s="19" t="s">
        <v>32</v>
      </c>
      <c r="D56" s="10">
        <v>100</v>
      </c>
      <c r="E56" s="20">
        <f>93374.5+1843.8+310</f>
        <v>95528.3</v>
      </c>
      <c r="F56" s="20">
        <v>88962.3</v>
      </c>
      <c r="G56" s="20">
        <v>88962.3</v>
      </c>
    </row>
    <row r="57" spans="1:7" ht="31.5" outlineLevel="2" x14ac:dyDescent="0.25">
      <c r="A57" s="21" t="s">
        <v>76</v>
      </c>
      <c r="B57" s="19" t="s">
        <v>62</v>
      </c>
      <c r="C57" s="19" t="s">
        <v>32</v>
      </c>
      <c r="D57" s="10">
        <v>200</v>
      </c>
      <c r="E57" s="20">
        <v>5596.6000000000013</v>
      </c>
      <c r="F57" s="3">
        <v>5767.5</v>
      </c>
      <c r="G57" s="20">
        <v>6135.8</v>
      </c>
    </row>
    <row r="58" spans="1:7" outlineLevel="2" x14ac:dyDescent="0.25">
      <c r="A58" s="9" t="s">
        <v>33</v>
      </c>
      <c r="B58" s="19" t="s">
        <v>62</v>
      </c>
      <c r="C58" s="19" t="s">
        <v>32</v>
      </c>
      <c r="D58" s="10">
        <v>800</v>
      </c>
      <c r="E58" s="20">
        <v>124.2</v>
      </c>
      <c r="F58" s="3">
        <v>104.2</v>
      </c>
      <c r="G58" s="20">
        <v>104.2</v>
      </c>
    </row>
    <row r="59" spans="1:7" outlineLevel="1" x14ac:dyDescent="0.25">
      <c r="A59" s="21" t="s">
        <v>63</v>
      </c>
      <c r="B59" s="19" t="s">
        <v>64</v>
      </c>
      <c r="C59" s="19"/>
      <c r="D59" s="10"/>
      <c r="E59" s="20">
        <f>E60</f>
        <v>86211.900000000038</v>
      </c>
      <c r="F59" s="3">
        <f t="shared" ref="F59:G61" si="13">F60</f>
        <v>82102.2</v>
      </c>
      <c r="G59" s="20">
        <f t="shared" si="13"/>
        <v>82102.2</v>
      </c>
    </row>
    <row r="60" spans="1:7" outlineLevel="2" x14ac:dyDescent="0.25">
      <c r="A60" s="21" t="s">
        <v>9</v>
      </c>
      <c r="B60" s="19" t="s">
        <v>64</v>
      </c>
      <c r="C60" s="19" t="s">
        <v>10</v>
      </c>
      <c r="D60" s="10"/>
      <c r="E60" s="20">
        <f>E61</f>
        <v>86211.900000000038</v>
      </c>
      <c r="F60" s="20">
        <f t="shared" si="13"/>
        <v>82102.2</v>
      </c>
      <c r="G60" s="20">
        <f t="shared" si="13"/>
        <v>82102.2</v>
      </c>
    </row>
    <row r="61" spans="1:7" ht="31.5" outlineLevel="2" x14ac:dyDescent="0.25">
      <c r="A61" s="21" t="s">
        <v>65</v>
      </c>
      <c r="B61" s="19" t="s">
        <v>64</v>
      </c>
      <c r="C61" s="19" t="s">
        <v>66</v>
      </c>
      <c r="D61" s="10"/>
      <c r="E61" s="20">
        <f>E62</f>
        <v>86211.900000000038</v>
      </c>
      <c r="F61" s="3">
        <f t="shared" si="13"/>
        <v>82102.2</v>
      </c>
      <c r="G61" s="20">
        <f t="shared" si="13"/>
        <v>82102.2</v>
      </c>
    </row>
    <row r="62" spans="1:7" outlineLevel="2" x14ac:dyDescent="0.25">
      <c r="A62" s="9" t="s">
        <v>33</v>
      </c>
      <c r="B62" s="19" t="s">
        <v>64</v>
      </c>
      <c r="C62" s="19" t="s">
        <v>66</v>
      </c>
      <c r="D62" s="10">
        <v>800</v>
      </c>
      <c r="E62" s="20">
        <f>189714.2-34926.3-1535-8800.3-21627.2-6528.9-5227.9-306.4-5894-9649-5267.3-1937-1020.9-775.3-3960.3-6998.8-1442.1-1200-15104.3+28698.7</f>
        <v>86211.900000000038</v>
      </c>
      <c r="F62" s="20">
        <v>82102.2</v>
      </c>
      <c r="G62" s="20">
        <v>82102.2</v>
      </c>
    </row>
    <row r="63" spans="1:7" ht="31.5" outlineLevel="1" x14ac:dyDescent="0.25">
      <c r="A63" s="21" t="s">
        <v>520</v>
      </c>
      <c r="B63" s="19" t="s">
        <v>522</v>
      </c>
      <c r="C63" s="19"/>
      <c r="D63" s="19"/>
      <c r="E63" s="20">
        <f t="shared" ref="E63:G67" si="14">E64</f>
        <v>665</v>
      </c>
      <c r="F63" s="3">
        <f t="shared" si="14"/>
        <v>0</v>
      </c>
      <c r="G63" s="20">
        <f t="shared" si="14"/>
        <v>0</v>
      </c>
    </row>
    <row r="64" spans="1:7" ht="47.25" outlineLevel="2" x14ac:dyDescent="0.25">
      <c r="A64" s="21" t="s">
        <v>370</v>
      </c>
      <c r="B64" s="19" t="s">
        <v>522</v>
      </c>
      <c r="C64" s="19" t="s">
        <v>371</v>
      </c>
      <c r="D64" s="19"/>
      <c r="E64" s="20">
        <f>E65</f>
        <v>665</v>
      </c>
      <c r="F64" s="20">
        <f t="shared" si="14"/>
        <v>0</v>
      </c>
      <c r="G64" s="20">
        <f t="shared" si="14"/>
        <v>0</v>
      </c>
    </row>
    <row r="65" spans="1:7" outlineLevel="2" x14ac:dyDescent="0.25">
      <c r="A65" s="21" t="s">
        <v>144</v>
      </c>
      <c r="B65" s="19" t="s">
        <v>522</v>
      </c>
      <c r="C65" s="19" t="s">
        <v>407</v>
      </c>
      <c r="D65" s="19"/>
      <c r="E65" s="20">
        <f t="shared" ref="E65:E67" si="15">E66</f>
        <v>665</v>
      </c>
      <c r="F65" s="3">
        <f t="shared" si="14"/>
        <v>0</v>
      </c>
      <c r="G65" s="20">
        <f t="shared" si="14"/>
        <v>0</v>
      </c>
    </row>
    <row r="66" spans="1:7" ht="47.25" outlineLevel="2" x14ac:dyDescent="0.25">
      <c r="A66" s="21" t="s">
        <v>408</v>
      </c>
      <c r="B66" s="19" t="s">
        <v>522</v>
      </c>
      <c r="C66" s="19" t="s">
        <v>409</v>
      </c>
      <c r="D66" s="19"/>
      <c r="E66" s="20">
        <f t="shared" si="15"/>
        <v>665</v>
      </c>
      <c r="F66" s="20">
        <f t="shared" si="14"/>
        <v>0</v>
      </c>
      <c r="G66" s="20">
        <f t="shared" si="14"/>
        <v>0</v>
      </c>
    </row>
    <row r="67" spans="1:7" outlineLevel="2" x14ac:dyDescent="0.25">
      <c r="A67" s="21" t="s">
        <v>521</v>
      </c>
      <c r="B67" s="19" t="s">
        <v>522</v>
      </c>
      <c r="C67" s="19" t="s">
        <v>523</v>
      </c>
      <c r="D67" s="19"/>
      <c r="E67" s="20">
        <f t="shared" si="15"/>
        <v>665</v>
      </c>
      <c r="F67" s="3">
        <f t="shared" si="14"/>
        <v>0</v>
      </c>
      <c r="G67" s="20">
        <f t="shared" si="14"/>
        <v>0</v>
      </c>
    </row>
    <row r="68" spans="1:7" ht="31.5" outlineLevel="2" x14ac:dyDescent="0.25">
      <c r="A68" s="21" t="s">
        <v>76</v>
      </c>
      <c r="B68" s="19" t="s">
        <v>522</v>
      </c>
      <c r="C68" s="19" t="s">
        <v>523</v>
      </c>
      <c r="D68" s="19" t="s">
        <v>39</v>
      </c>
      <c r="E68" s="20">
        <v>665</v>
      </c>
      <c r="F68" s="20"/>
      <c r="G68" s="20"/>
    </row>
    <row r="69" spans="1:7" outlineLevel="1" x14ac:dyDescent="0.25">
      <c r="A69" s="21" t="s">
        <v>23</v>
      </c>
      <c r="B69" s="19" t="s">
        <v>24</v>
      </c>
      <c r="C69" s="19"/>
      <c r="D69" s="10"/>
      <c r="E69" s="20">
        <f>E70+E108+E119</f>
        <v>517039.79999999993</v>
      </c>
      <c r="F69" s="3">
        <f>F70+F108+F119</f>
        <v>364295.89999999997</v>
      </c>
      <c r="G69" s="3">
        <f>G70+G108+G119</f>
        <v>388109</v>
      </c>
    </row>
    <row r="70" spans="1:7" outlineLevel="2" x14ac:dyDescent="0.25">
      <c r="A70" s="21" t="s">
        <v>9</v>
      </c>
      <c r="B70" s="19" t="s">
        <v>24</v>
      </c>
      <c r="C70" s="19" t="s">
        <v>10</v>
      </c>
      <c r="D70" s="10"/>
      <c r="E70" s="20">
        <f>E71+E73+E78+E82+E90+E92+E85+E88+E104+E94+E96+E98+E100+E102+E106+E80</f>
        <v>409529.09999999992</v>
      </c>
      <c r="F70" s="20">
        <f t="shared" ref="F70:G70" si="16">F71+F73+F78+F82+F90+F92+F85+F88+F104+F94+F96+F98+F100+F102+F106</f>
        <v>264728.3</v>
      </c>
      <c r="G70" s="3">
        <f t="shared" si="16"/>
        <v>287032.2</v>
      </c>
    </row>
    <row r="71" spans="1:7" ht="31.5" outlineLevel="2" x14ac:dyDescent="0.25">
      <c r="A71" s="18" t="s">
        <v>84</v>
      </c>
      <c r="B71" s="19" t="s">
        <v>24</v>
      </c>
      <c r="C71" s="19" t="s">
        <v>85</v>
      </c>
      <c r="D71" s="10"/>
      <c r="E71" s="20">
        <f>E72</f>
        <v>0</v>
      </c>
      <c r="F71" s="3">
        <f t="shared" ref="F71:G71" si="17">F72</f>
        <v>10</v>
      </c>
      <c r="G71" s="20">
        <f t="shared" si="17"/>
        <v>10</v>
      </c>
    </row>
    <row r="72" spans="1:7" ht="22.5" customHeight="1" outlineLevel="2" x14ac:dyDescent="0.25">
      <c r="A72" s="18" t="s">
        <v>20</v>
      </c>
      <c r="B72" s="19" t="s">
        <v>24</v>
      </c>
      <c r="C72" s="19" t="s">
        <v>85</v>
      </c>
      <c r="D72" s="10">
        <v>300</v>
      </c>
      <c r="E72" s="20">
        <v>0</v>
      </c>
      <c r="F72" s="20">
        <v>10</v>
      </c>
      <c r="G72" s="20">
        <v>10</v>
      </c>
    </row>
    <row r="73" spans="1:7" ht="35.25" customHeight="1" outlineLevel="2" x14ac:dyDescent="0.25">
      <c r="A73" s="23" t="s">
        <v>151</v>
      </c>
      <c r="B73" s="19" t="s">
        <v>24</v>
      </c>
      <c r="C73" s="19" t="s">
        <v>45</v>
      </c>
      <c r="D73" s="10"/>
      <c r="E73" s="20">
        <f>SUM(E74:E77)</f>
        <v>247120.49999999997</v>
      </c>
      <c r="F73" s="3">
        <f t="shared" ref="F73:G73" si="18">SUM(F74:F77)</f>
        <v>230146.9</v>
      </c>
      <c r="G73" s="20">
        <f t="shared" si="18"/>
        <v>238330.3</v>
      </c>
    </row>
    <row r="74" spans="1:7" ht="94.5" outlineLevel="2" x14ac:dyDescent="0.25">
      <c r="A74" s="18" t="s">
        <v>13</v>
      </c>
      <c r="B74" s="19" t="s">
        <v>24</v>
      </c>
      <c r="C74" s="19" t="s">
        <v>45</v>
      </c>
      <c r="D74" s="10">
        <v>100</v>
      </c>
      <c r="E74" s="20">
        <f>175612.9+1779.4</f>
        <v>177392.3</v>
      </c>
      <c r="F74" s="20">
        <v>177913.9</v>
      </c>
      <c r="G74" s="20">
        <v>185030.5</v>
      </c>
    </row>
    <row r="75" spans="1:7" ht="31.5" outlineLevel="2" x14ac:dyDescent="0.25">
      <c r="A75" s="18" t="s">
        <v>76</v>
      </c>
      <c r="B75" s="19" t="s">
        <v>24</v>
      </c>
      <c r="C75" s="19" t="s">
        <v>45</v>
      </c>
      <c r="D75" s="10">
        <v>200</v>
      </c>
      <c r="E75" s="20">
        <f>97972.2-31070.9</f>
        <v>66901.299999999988</v>
      </c>
      <c r="F75" s="3">
        <v>49416.1</v>
      </c>
      <c r="G75" s="20">
        <v>50482.9</v>
      </c>
    </row>
    <row r="76" spans="1:7" ht="31.5" outlineLevel="2" x14ac:dyDescent="0.25">
      <c r="A76" s="18" t="s">
        <v>20</v>
      </c>
      <c r="B76" s="19" t="s">
        <v>24</v>
      </c>
      <c r="C76" s="19" t="s">
        <v>45</v>
      </c>
      <c r="D76" s="19" t="s">
        <v>558</v>
      </c>
      <c r="E76" s="20">
        <v>10</v>
      </c>
      <c r="F76" s="20">
        <v>0</v>
      </c>
      <c r="G76" s="20">
        <v>0</v>
      </c>
    </row>
    <row r="77" spans="1:7" outlineLevel="2" x14ac:dyDescent="0.25">
      <c r="A77" s="23" t="s">
        <v>33</v>
      </c>
      <c r="B77" s="19" t="s">
        <v>24</v>
      </c>
      <c r="C77" s="19" t="s">
        <v>45</v>
      </c>
      <c r="D77" s="10">
        <v>800</v>
      </c>
      <c r="E77" s="20">
        <v>2816.9</v>
      </c>
      <c r="F77" s="3">
        <v>2816.9</v>
      </c>
      <c r="G77" s="20">
        <v>2816.9</v>
      </c>
    </row>
    <row r="78" spans="1:7" ht="94.5" outlineLevel="2" x14ac:dyDescent="0.25">
      <c r="A78" s="9" t="s">
        <v>142</v>
      </c>
      <c r="B78" s="19" t="s">
        <v>24</v>
      </c>
      <c r="C78" s="19" t="s">
        <v>143</v>
      </c>
      <c r="D78" s="10"/>
      <c r="E78" s="20">
        <f>E79</f>
        <v>5804.4999999999991</v>
      </c>
      <c r="F78" s="20">
        <f t="shared" ref="F78:G78" si="19">F79</f>
        <v>15879.5</v>
      </c>
      <c r="G78" s="20">
        <f t="shared" si="19"/>
        <v>30000</v>
      </c>
    </row>
    <row r="79" spans="1:7" outlineLevel="2" x14ac:dyDescent="0.25">
      <c r="A79" s="9" t="s">
        <v>33</v>
      </c>
      <c r="B79" s="19" t="s">
        <v>24</v>
      </c>
      <c r="C79" s="19" t="s">
        <v>143</v>
      </c>
      <c r="D79" s="10">
        <v>800</v>
      </c>
      <c r="E79" s="20">
        <f>12027.8-4627.6-1595.7</f>
        <v>5804.4999999999991</v>
      </c>
      <c r="F79" s="3">
        <f>29645.7-13766.2</f>
        <v>15879.5</v>
      </c>
      <c r="G79" s="20">
        <v>30000</v>
      </c>
    </row>
    <row r="80" spans="1:7" ht="63" outlineLevel="2" x14ac:dyDescent="0.25">
      <c r="A80" s="21" t="s">
        <v>740</v>
      </c>
      <c r="B80" s="19" t="s">
        <v>24</v>
      </c>
      <c r="C80" s="19" t="s">
        <v>739</v>
      </c>
      <c r="D80" s="10"/>
      <c r="E80" s="20">
        <f>+E81</f>
        <v>1163.8</v>
      </c>
      <c r="F80" s="3">
        <f t="shared" ref="F80:G80" si="20">+F81</f>
        <v>0</v>
      </c>
      <c r="G80" s="3">
        <f t="shared" si="20"/>
        <v>0</v>
      </c>
    </row>
    <row r="81" spans="1:7" ht="31.5" outlineLevel="2" x14ac:dyDescent="0.25">
      <c r="A81" s="23" t="s">
        <v>76</v>
      </c>
      <c r="B81" s="19" t="s">
        <v>24</v>
      </c>
      <c r="C81" s="19" t="s">
        <v>739</v>
      </c>
      <c r="D81" s="19">
        <v>200</v>
      </c>
      <c r="E81" s="20">
        <v>1163.8</v>
      </c>
      <c r="F81" s="3">
        <v>0</v>
      </c>
      <c r="G81" s="3">
        <v>0</v>
      </c>
    </row>
    <row r="82" spans="1:7" ht="63" outlineLevel="2" x14ac:dyDescent="0.25">
      <c r="A82" s="18" t="s">
        <v>46</v>
      </c>
      <c r="B82" s="19" t="s">
        <v>24</v>
      </c>
      <c r="C82" s="19" t="s">
        <v>47</v>
      </c>
      <c r="D82" s="10"/>
      <c r="E82" s="20">
        <f>E84+E83</f>
        <v>86643.8</v>
      </c>
      <c r="F82" s="20">
        <f>F84</f>
        <v>13236.1</v>
      </c>
      <c r="G82" s="20">
        <f>G84</f>
        <v>13236.1</v>
      </c>
    </row>
    <row r="83" spans="1:7" ht="47.25" outlineLevel="2" x14ac:dyDescent="0.25">
      <c r="A83" s="21" t="s">
        <v>94</v>
      </c>
      <c r="B83" s="19" t="s">
        <v>24</v>
      </c>
      <c r="C83" s="19" t="s">
        <v>47</v>
      </c>
      <c r="D83" s="19" t="s">
        <v>95</v>
      </c>
      <c r="E83" s="20">
        <f>64391.4-60</f>
        <v>64331.4</v>
      </c>
      <c r="F83" s="3">
        <v>0</v>
      </c>
      <c r="G83" s="20">
        <v>0</v>
      </c>
    </row>
    <row r="84" spans="1:7" outlineLevel="2" x14ac:dyDescent="0.25">
      <c r="A84" s="23" t="s">
        <v>33</v>
      </c>
      <c r="B84" s="19" t="s">
        <v>24</v>
      </c>
      <c r="C84" s="19" t="s">
        <v>47</v>
      </c>
      <c r="D84" s="10">
        <v>800</v>
      </c>
      <c r="E84" s="20">
        <f>18579.5+37.9+100+3594.9+0.1</f>
        <v>22312.400000000001</v>
      </c>
      <c r="F84" s="20">
        <v>13236.1</v>
      </c>
      <c r="G84" s="20">
        <v>13236.1</v>
      </c>
    </row>
    <row r="85" spans="1:7" outlineLevel="2" x14ac:dyDescent="0.25">
      <c r="A85" s="21" t="s">
        <v>568</v>
      </c>
      <c r="B85" s="19" t="s">
        <v>24</v>
      </c>
      <c r="C85" s="19" t="s">
        <v>570</v>
      </c>
      <c r="D85" s="19"/>
      <c r="E85" s="20">
        <f>E87+E86</f>
        <v>35336.300000000003</v>
      </c>
      <c r="F85" s="3">
        <f t="shared" ref="F85:G85" si="21">F87+F86</f>
        <v>0</v>
      </c>
      <c r="G85" s="3">
        <f t="shared" si="21"/>
        <v>0</v>
      </c>
    </row>
    <row r="86" spans="1:7" ht="31.5" outlineLevel="2" x14ac:dyDescent="0.25">
      <c r="A86" s="18" t="s">
        <v>76</v>
      </c>
      <c r="B86" s="19" t="s">
        <v>24</v>
      </c>
      <c r="C86" s="19" t="s">
        <v>570</v>
      </c>
      <c r="D86" s="19" t="s">
        <v>39</v>
      </c>
      <c r="E86" s="20">
        <f>45</f>
        <v>45</v>
      </c>
      <c r="F86" s="3">
        <v>0</v>
      </c>
      <c r="G86" s="20">
        <v>0</v>
      </c>
    </row>
    <row r="87" spans="1:7" outlineLevel="2" x14ac:dyDescent="0.25">
      <c r="A87" s="21" t="s">
        <v>33</v>
      </c>
      <c r="B87" s="19" t="s">
        <v>24</v>
      </c>
      <c r="C87" s="19" t="s">
        <v>570</v>
      </c>
      <c r="D87" s="19">
        <v>800</v>
      </c>
      <c r="E87" s="20">
        <f>115+100+90+34926.3+60</f>
        <v>35291.300000000003</v>
      </c>
      <c r="F87" s="20">
        <v>0</v>
      </c>
      <c r="G87" s="20">
        <v>0</v>
      </c>
    </row>
    <row r="88" spans="1:7" outlineLevel="2" x14ac:dyDescent="0.25">
      <c r="A88" s="21" t="s">
        <v>569</v>
      </c>
      <c r="B88" s="19" t="s">
        <v>24</v>
      </c>
      <c r="C88" s="19" t="s">
        <v>571</v>
      </c>
      <c r="D88" s="19"/>
      <c r="E88" s="20">
        <f>E89</f>
        <v>5157.5</v>
      </c>
      <c r="F88" s="3">
        <f t="shared" ref="F88:G88" si="22">F89</f>
        <v>0</v>
      </c>
      <c r="G88" s="20">
        <f t="shared" si="22"/>
        <v>0</v>
      </c>
    </row>
    <row r="89" spans="1:7" outlineLevel="2" x14ac:dyDescent="0.25">
      <c r="A89" s="21" t="s">
        <v>33</v>
      </c>
      <c r="B89" s="19" t="s">
        <v>24</v>
      </c>
      <c r="C89" s="19" t="s">
        <v>571</v>
      </c>
      <c r="D89" s="19">
        <v>800</v>
      </c>
      <c r="E89" s="20">
        <f>4660+497.5</f>
        <v>5157.5</v>
      </c>
      <c r="F89" s="20">
        <v>0</v>
      </c>
      <c r="G89" s="20">
        <v>0</v>
      </c>
    </row>
    <row r="90" spans="1:7" ht="47.25" outlineLevel="2" x14ac:dyDescent="0.25">
      <c r="A90" s="9" t="s">
        <v>490</v>
      </c>
      <c r="B90" s="19" t="s">
        <v>24</v>
      </c>
      <c r="C90" s="19" t="s">
        <v>131</v>
      </c>
      <c r="D90" s="10"/>
      <c r="E90" s="20">
        <f>E91</f>
        <v>287.39999999999998</v>
      </c>
      <c r="F90" s="3">
        <f>F91</f>
        <v>287.39999999999998</v>
      </c>
      <c r="G90" s="22">
        <f>G91</f>
        <v>287.39999999999998</v>
      </c>
    </row>
    <row r="91" spans="1:7" ht="31.5" outlineLevel="2" x14ac:dyDescent="0.25">
      <c r="A91" s="21" t="s">
        <v>20</v>
      </c>
      <c r="B91" s="19" t="s">
        <v>24</v>
      </c>
      <c r="C91" s="19" t="s">
        <v>131</v>
      </c>
      <c r="D91" s="10">
        <v>300</v>
      </c>
      <c r="E91" s="20">
        <v>287.39999999999998</v>
      </c>
      <c r="F91" s="20">
        <v>287.39999999999998</v>
      </c>
      <c r="G91" s="22">
        <v>287.39999999999998</v>
      </c>
    </row>
    <row r="92" spans="1:7" ht="47.25" outlineLevel="2" x14ac:dyDescent="0.25">
      <c r="A92" s="21" t="s">
        <v>25</v>
      </c>
      <c r="B92" s="19" t="s">
        <v>24</v>
      </c>
      <c r="C92" s="19" t="s">
        <v>26</v>
      </c>
      <c r="D92" s="10"/>
      <c r="E92" s="20">
        <f>E93</f>
        <v>1823.6</v>
      </c>
      <c r="F92" s="3">
        <f>F93</f>
        <v>1091.9000000000001</v>
      </c>
      <c r="G92" s="22">
        <f>G93</f>
        <v>1091.9000000000001</v>
      </c>
    </row>
    <row r="93" spans="1:7" ht="31.5" outlineLevel="2" x14ac:dyDescent="0.25">
      <c r="A93" s="21" t="s">
        <v>20</v>
      </c>
      <c r="B93" s="19" t="s">
        <v>24</v>
      </c>
      <c r="C93" s="19" t="s">
        <v>26</v>
      </c>
      <c r="D93" s="10">
        <v>300</v>
      </c>
      <c r="E93" s="20">
        <f>1603.7+219.8+0.1</f>
        <v>1823.6</v>
      </c>
      <c r="F93" s="20">
        <v>1091.9000000000001</v>
      </c>
      <c r="G93" s="3">
        <v>1091.9000000000001</v>
      </c>
    </row>
    <row r="94" spans="1:7" outlineLevel="2" x14ac:dyDescent="0.25">
      <c r="A94" s="18" t="s">
        <v>640</v>
      </c>
      <c r="B94" s="19" t="s">
        <v>24</v>
      </c>
      <c r="C94" s="19" t="s">
        <v>132</v>
      </c>
      <c r="D94" s="19"/>
      <c r="E94" s="20">
        <f>+E95</f>
        <v>513.29999999999995</v>
      </c>
      <c r="F94" s="20">
        <f t="shared" ref="F94:G94" si="23">+F95</f>
        <v>513.29999999999995</v>
      </c>
      <c r="G94" s="20">
        <f t="shared" si="23"/>
        <v>513.29999999999995</v>
      </c>
    </row>
    <row r="95" spans="1:7" ht="47.25" outlineLevel="2" x14ac:dyDescent="0.25">
      <c r="A95" s="23" t="s">
        <v>94</v>
      </c>
      <c r="B95" s="19" t="s">
        <v>24</v>
      </c>
      <c r="C95" s="19" t="s">
        <v>132</v>
      </c>
      <c r="D95" s="19" t="s">
        <v>95</v>
      </c>
      <c r="E95" s="20">
        <f>513.3</f>
        <v>513.29999999999995</v>
      </c>
      <c r="F95" s="20">
        <v>513.29999999999995</v>
      </c>
      <c r="G95" s="3">
        <v>513.29999999999995</v>
      </c>
    </row>
    <row r="96" spans="1:7" ht="31.5" outlineLevel="2" x14ac:dyDescent="0.25">
      <c r="A96" s="18" t="s">
        <v>133</v>
      </c>
      <c r="B96" s="19" t="s">
        <v>24</v>
      </c>
      <c r="C96" s="19" t="s">
        <v>134</v>
      </c>
      <c r="D96" s="19"/>
      <c r="E96" s="20">
        <f>+E97</f>
        <v>2913.2</v>
      </c>
      <c r="F96" s="3">
        <f>+F97</f>
        <v>2913.2</v>
      </c>
      <c r="G96" s="3">
        <f>+G97</f>
        <v>2913.2</v>
      </c>
    </row>
    <row r="97" spans="1:7" ht="47.25" outlineLevel="2" x14ac:dyDescent="0.25">
      <c r="A97" s="23" t="s">
        <v>94</v>
      </c>
      <c r="B97" s="19" t="s">
        <v>24</v>
      </c>
      <c r="C97" s="19" t="s">
        <v>134</v>
      </c>
      <c r="D97" s="19" t="s">
        <v>95</v>
      </c>
      <c r="E97" s="20">
        <v>2913.2</v>
      </c>
      <c r="F97" s="20">
        <v>2913.2</v>
      </c>
      <c r="G97" s="3">
        <v>2913.2</v>
      </c>
    </row>
    <row r="98" spans="1:7" ht="31.5" outlineLevel="2" x14ac:dyDescent="0.25">
      <c r="A98" s="18" t="s">
        <v>139</v>
      </c>
      <c r="B98" s="19" t="s">
        <v>24</v>
      </c>
      <c r="C98" s="19" t="s">
        <v>140</v>
      </c>
      <c r="D98" s="19"/>
      <c r="E98" s="20">
        <f>+E99</f>
        <v>650</v>
      </c>
      <c r="F98" s="3">
        <f t="shared" ref="F98:G98" si="24">+F99</f>
        <v>650</v>
      </c>
      <c r="G98" s="3">
        <f t="shared" si="24"/>
        <v>650</v>
      </c>
    </row>
    <row r="99" spans="1:7" ht="31.5" outlineLevel="2" x14ac:dyDescent="0.25">
      <c r="A99" s="18" t="s">
        <v>20</v>
      </c>
      <c r="B99" s="19" t="s">
        <v>24</v>
      </c>
      <c r="C99" s="19" t="s">
        <v>140</v>
      </c>
      <c r="D99" s="19" t="s">
        <v>558</v>
      </c>
      <c r="E99" s="20">
        <v>650</v>
      </c>
      <c r="F99" s="20">
        <v>650</v>
      </c>
      <c r="G99" s="3">
        <v>650</v>
      </c>
    </row>
    <row r="100" spans="1:7" ht="63" outlineLevel="2" x14ac:dyDescent="0.25">
      <c r="A100" s="18" t="s">
        <v>641</v>
      </c>
      <c r="B100" s="19" t="s">
        <v>24</v>
      </c>
      <c r="C100" s="19" t="s">
        <v>643</v>
      </c>
      <c r="D100" s="19"/>
      <c r="E100" s="20">
        <f>+E101</f>
        <v>5899.5</v>
      </c>
      <c r="F100" s="3">
        <f t="shared" ref="F100:G100" si="25">+F101</f>
        <v>0</v>
      </c>
      <c r="G100" s="3">
        <f t="shared" si="25"/>
        <v>0</v>
      </c>
    </row>
    <row r="101" spans="1:7" ht="47.25" outlineLevel="2" x14ac:dyDescent="0.25">
      <c r="A101" s="18" t="s">
        <v>94</v>
      </c>
      <c r="B101" s="19" t="s">
        <v>24</v>
      </c>
      <c r="C101" s="19" t="s">
        <v>643</v>
      </c>
      <c r="D101" s="19" t="s">
        <v>95</v>
      </c>
      <c r="E101" s="20">
        <v>5899.5</v>
      </c>
      <c r="F101" s="20">
        <v>0</v>
      </c>
      <c r="G101" s="3">
        <v>0</v>
      </c>
    </row>
    <row r="102" spans="1:7" ht="78.75" outlineLevel="2" x14ac:dyDescent="0.25">
      <c r="A102" s="18" t="s">
        <v>642</v>
      </c>
      <c r="B102" s="19" t="s">
        <v>24</v>
      </c>
      <c r="C102" s="19" t="s">
        <v>644</v>
      </c>
      <c r="D102" s="19"/>
      <c r="E102" s="20">
        <f>+E103</f>
        <v>12881.6</v>
      </c>
      <c r="F102" s="3">
        <f t="shared" ref="F102:G102" si="26">+F103</f>
        <v>0</v>
      </c>
      <c r="G102" s="3">
        <f t="shared" si="26"/>
        <v>0</v>
      </c>
    </row>
    <row r="103" spans="1:7" ht="47.25" outlineLevel="2" x14ac:dyDescent="0.25">
      <c r="A103" s="18" t="s">
        <v>94</v>
      </c>
      <c r="B103" s="19" t="s">
        <v>24</v>
      </c>
      <c r="C103" s="19" t="s">
        <v>644</v>
      </c>
      <c r="D103" s="19" t="s">
        <v>95</v>
      </c>
      <c r="E103" s="20">
        <f>12381.6+500</f>
        <v>12881.6</v>
      </c>
      <c r="F103" s="20">
        <v>0</v>
      </c>
      <c r="G103" s="3">
        <v>0</v>
      </c>
    </row>
    <row r="104" spans="1:7" ht="47.25" outlineLevel="2" x14ac:dyDescent="0.25">
      <c r="A104" s="21" t="s">
        <v>638</v>
      </c>
      <c r="B104" s="19" t="s">
        <v>24</v>
      </c>
      <c r="C104" s="19" t="s">
        <v>639</v>
      </c>
      <c r="D104" s="19"/>
      <c r="E104" s="20">
        <f>+E105</f>
        <v>2934.1</v>
      </c>
      <c r="F104" s="3">
        <v>0</v>
      </c>
      <c r="G104" s="3">
        <v>0</v>
      </c>
    </row>
    <row r="105" spans="1:7" ht="47.25" outlineLevel="2" x14ac:dyDescent="0.25">
      <c r="A105" s="18" t="s">
        <v>94</v>
      </c>
      <c r="B105" s="19" t="s">
        <v>24</v>
      </c>
      <c r="C105" s="19" t="s">
        <v>639</v>
      </c>
      <c r="D105" s="19" t="s">
        <v>95</v>
      </c>
      <c r="E105" s="20">
        <v>2934.1</v>
      </c>
      <c r="F105" s="20">
        <v>0</v>
      </c>
      <c r="G105" s="3">
        <v>0</v>
      </c>
    </row>
    <row r="106" spans="1:7" ht="47.25" outlineLevel="2" x14ac:dyDescent="0.25">
      <c r="A106" s="18" t="s">
        <v>645</v>
      </c>
      <c r="B106" s="19" t="s">
        <v>24</v>
      </c>
      <c r="C106" s="19" t="s">
        <v>646</v>
      </c>
      <c r="D106" s="19"/>
      <c r="E106" s="20">
        <f>+E107</f>
        <v>400</v>
      </c>
      <c r="F106" s="3">
        <v>0</v>
      </c>
      <c r="G106" s="3">
        <v>0</v>
      </c>
    </row>
    <row r="107" spans="1:7" ht="47.25" outlineLevel="2" x14ac:dyDescent="0.25">
      <c r="A107" s="18" t="s">
        <v>94</v>
      </c>
      <c r="B107" s="19" t="s">
        <v>24</v>
      </c>
      <c r="C107" s="19" t="s">
        <v>646</v>
      </c>
      <c r="D107" s="19" t="s">
        <v>95</v>
      </c>
      <c r="E107" s="20">
        <v>400</v>
      </c>
      <c r="F107" s="20">
        <v>0</v>
      </c>
      <c r="G107" s="3">
        <v>0</v>
      </c>
    </row>
    <row r="108" spans="1:7" ht="47.25" outlineLevel="2" x14ac:dyDescent="0.25">
      <c r="A108" s="30" t="s">
        <v>59</v>
      </c>
      <c r="B108" s="2" t="s">
        <v>24</v>
      </c>
      <c r="C108" s="2" t="s">
        <v>60</v>
      </c>
      <c r="D108" s="19"/>
      <c r="E108" s="20">
        <f>E109</f>
        <v>107232.19999999998</v>
      </c>
      <c r="F108" s="3">
        <f t="shared" ref="E108:G109" si="27">F109</f>
        <v>99289.099999999991</v>
      </c>
      <c r="G108" s="20">
        <f t="shared" si="27"/>
        <v>100798.29999999999</v>
      </c>
    </row>
    <row r="109" spans="1:7" outlineLevel="2" x14ac:dyDescent="0.25">
      <c r="A109" s="30" t="s">
        <v>144</v>
      </c>
      <c r="B109" s="2" t="s">
        <v>24</v>
      </c>
      <c r="C109" s="2" t="s">
        <v>135</v>
      </c>
      <c r="D109" s="19"/>
      <c r="E109" s="20">
        <f t="shared" si="27"/>
        <v>107232.19999999998</v>
      </c>
      <c r="F109" s="20">
        <f t="shared" si="27"/>
        <v>99289.099999999991</v>
      </c>
      <c r="G109" s="20">
        <f t="shared" si="27"/>
        <v>100798.29999999999</v>
      </c>
    </row>
    <row r="110" spans="1:7" ht="110.25" outlineLevel="2" x14ac:dyDescent="0.25">
      <c r="A110" s="30" t="s">
        <v>500</v>
      </c>
      <c r="B110" s="2" t="s">
        <v>24</v>
      </c>
      <c r="C110" s="2" t="s">
        <v>401</v>
      </c>
      <c r="D110" s="19"/>
      <c r="E110" s="20">
        <f>E111+E116</f>
        <v>107232.19999999998</v>
      </c>
      <c r="F110" s="3">
        <f>F111+F116</f>
        <v>99289.099999999991</v>
      </c>
      <c r="G110" s="20">
        <f>G111+G116</f>
        <v>100798.29999999999</v>
      </c>
    </row>
    <row r="111" spans="1:7" ht="47.25" outlineLevel="2" x14ac:dyDescent="0.25">
      <c r="A111" s="9" t="s">
        <v>159</v>
      </c>
      <c r="B111" s="2" t="s">
        <v>24</v>
      </c>
      <c r="C111" s="2" t="s">
        <v>481</v>
      </c>
      <c r="D111" s="31"/>
      <c r="E111" s="20">
        <f>E112+E113+E115+E114</f>
        <v>69012.099999999991</v>
      </c>
      <c r="F111" s="20">
        <f t="shared" ref="F111:G111" si="28">F112+F113+F115</f>
        <v>59805.999999999993</v>
      </c>
      <c r="G111" s="20">
        <f t="shared" si="28"/>
        <v>59805.999999999993</v>
      </c>
    </row>
    <row r="112" spans="1:7" ht="94.5" outlineLevel="2" x14ac:dyDescent="0.25">
      <c r="A112" s="21" t="s">
        <v>75</v>
      </c>
      <c r="B112" s="2" t="s">
        <v>24</v>
      </c>
      <c r="C112" s="2" t="s">
        <v>481</v>
      </c>
      <c r="D112" s="31">
        <v>100</v>
      </c>
      <c r="E112" s="20">
        <f>60250.9+1749.6</f>
        <v>62000.5</v>
      </c>
      <c r="F112" s="3">
        <v>57388.2</v>
      </c>
      <c r="G112" s="20">
        <v>57388.2</v>
      </c>
    </row>
    <row r="113" spans="1:8" ht="31.5" outlineLevel="2" x14ac:dyDescent="0.25">
      <c r="A113" s="21" t="s">
        <v>76</v>
      </c>
      <c r="B113" s="2" t="s">
        <v>24</v>
      </c>
      <c r="C113" s="2" t="s">
        <v>481</v>
      </c>
      <c r="D113" s="31">
        <v>200</v>
      </c>
      <c r="E113" s="20">
        <v>2319.7000000000003</v>
      </c>
      <c r="F113" s="20">
        <v>2187.6999999999998</v>
      </c>
      <c r="G113" s="20">
        <v>2187.6999999999998</v>
      </c>
    </row>
    <row r="114" spans="1:8" ht="31.5" outlineLevel="2" x14ac:dyDescent="0.25">
      <c r="A114" s="9" t="s">
        <v>20</v>
      </c>
      <c r="B114" s="19" t="s">
        <v>24</v>
      </c>
      <c r="C114" s="19" t="s">
        <v>481</v>
      </c>
      <c r="D114" s="19">
        <v>300</v>
      </c>
      <c r="E114" s="20">
        <v>915</v>
      </c>
      <c r="F114" s="3">
        <v>0</v>
      </c>
      <c r="G114" s="20">
        <v>0</v>
      </c>
    </row>
    <row r="115" spans="1:8" outlineLevel="2" x14ac:dyDescent="0.25">
      <c r="A115" s="9" t="s">
        <v>33</v>
      </c>
      <c r="B115" s="2" t="s">
        <v>24</v>
      </c>
      <c r="C115" s="2" t="s">
        <v>481</v>
      </c>
      <c r="D115" s="31">
        <v>800</v>
      </c>
      <c r="E115" s="20">
        <v>3776.9</v>
      </c>
      <c r="F115" s="20">
        <v>230.1</v>
      </c>
      <c r="G115" s="20">
        <v>230.1</v>
      </c>
    </row>
    <row r="116" spans="1:8" ht="47.25" outlineLevel="2" x14ac:dyDescent="0.25">
      <c r="A116" s="21" t="s">
        <v>151</v>
      </c>
      <c r="B116" s="2" t="s">
        <v>24</v>
      </c>
      <c r="C116" s="2" t="s">
        <v>478</v>
      </c>
      <c r="D116" s="31"/>
      <c r="E116" s="20">
        <f>E117+E118</f>
        <v>38220.1</v>
      </c>
      <c r="F116" s="3">
        <f>F117+F118</f>
        <v>39483.1</v>
      </c>
      <c r="G116" s="20">
        <f>G117+G118</f>
        <v>40992.299999999996</v>
      </c>
    </row>
    <row r="117" spans="1:8" ht="94.5" outlineLevel="2" x14ac:dyDescent="0.25">
      <c r="A117" s="9" t="s">
        <v>75</v>
      </c>
      <c r="B117" s="2" t="s">
        <v>24</v>
      </c>
      <c r="C117" s="2" t="s">
        <v>478</v>
      </c>
      <c r="D117" s="31">
        <v>100</v>
      </c>
      <c r="E117" s="20">
        <v>36416</v>
      </c>
      <c r="F117" s="20">
        <v>37732.5</v>
      </c>
      <c r="G117" s="20">
        <v>39241.699999999997</v>
      </c>
    </row>
    <row r="118" spans="1:8" ht="31.5" outlineLevel="2" x14ac:dyDescent="0.25">
      <c r="A118" s="9" t="s">
        <v>76</v>
      </c>
      <c r="B118" s="2" t="s">
        <v>24</v>
      </c>
      <c r="C118" s="2" t="s">
        <v>478</v>
      </c>
      <c r="D118" s="31">
        <v>200</v>
      </c>
      <c r="E118" s="20">
        <v>1804.1</v>
      </c>
      <c r="F118" s="3">
        <v>1750.6</v>
      </c>
      <c r="G118" s="20">
        <v>1750.6</v>
      </c>
    </row>
    <row r="119" spans="1:8" ht="78.75" outlineLevel="2" x14ac:dyDescent="0.25">
      <c r="A119" s="18" t="s">
        <v>347</v>
      </c>
      <c r="B119" s="2" t="s">
        <v>24</v>
      </c>
      <c r="C119" s="2" t="s">
        <v>54</v>
      </c>
      <c r="D119" s="31"/>
      <c r="E119" s="20">
        <f t="shared" ref="E119:G122" si="29">E120</f>
        <v>278.5</v>
      </c>
      <c r="F119" s="20">
        <f t="shared" si="29"/>
        <v>278.5</v>
      </c>
      <c r="G119" s="20">
        <f t="shared" si="29"/>
        <v>278.5</v>
      </c>
    </row>
    <row r="120" spans="1:8" outlineLevel="2" x14ac:dyDescent="0.25">
      <c r="A120" s="23" t="s">
        <v>144</v>
      </c>
      <c r="B120" s="2" t="s">
        <v>24</v>
      </c>
      <c r="C120" s="2" t="s">
        <v>83</v>
      </c>
      <c r="D120" s="31"/>
      <c r="E120" s="20">
        <f t="shared" si="29"/>
        <v>278.5</v>
      </c>
      <c r="F120" s="3">
        <f t="shared" si="29"/>
        <v>278.5</v>
      </c>
      <c r="G120" s="20">
        <f t="shared" si="29"/>
        <v>278.5</v>
      </c>
    </row>
    <row r="121" spans="1:8" ht="78.75" outlineLevel="2" x14ac:dyDescent="0.25">
      <c r="A121" s="18" t="s">
        <v>510</v>
      </c>
      <c r="B121" s="2" t="s">
        <v>24</v>
      </c>
      <c r="C121" s="2" t="s">
        <v>404</v>
      </c>
      <c r="D121" s="31"/>
      <c r="E121" s="20">
        <f t="shared" si="29"/>
        <v>278.5</v>
      </c>
      <c r="F121" s="20">
        <f t="shared" si="29"/>
        <v>278.5</v>
      </c>
      <c r="G121" s="20">
        <f t="shared" si="29"/>
        <v>278.5</v>
      </c>
    </row>
    <row r="122" spans="1:8" ht="63" outlineLevel="2" x14ac:dyDescent="0.25">
      <c r="A122" s="9" t="s">
        <v>479</v>
      </c>
      <c r="B122" s="2" t="s">
        <v>24</v>
      </c>
      <c r="C122" s="2" t="s">
        <v>480</v>
      </c>
      <c r="D122" s="31"/>
      <c r="E122" s="20">
        <f t="shared" si="29"/>
        <v>278.5</v>
      </c>
      <c r="F122" s="3">
        <f t="shared" si="29"/>
        <v>278.5</v>
      </c>
      <c r="G122" s="20">
        <f t="shared" si="29"/>
        <v>278.5</v>
      </c>
    </row>
    <row r="123" spans="1:8" ht="31.5" outlineLevel="2" x14ac:dyDescent="0.25">
      <c r="A123" s="9" t="s">
        <v>76</v>
      </c>
      <c r="B123" s="2" t="s">
        <v>24</v>
      </c>
      <c r="C123" s="2" t="s">
        <v>480</v>
      </c>
      <c r="D123" s="31">
        <v>200</v>
      </c>
      <c r="E123" s="20">
        <v>278.5</v>
      </c>
      <c r="F123" s="20">
        <v>278.5</v>
      </c>
      <c r="G123" s="20">
        <v>278.5</v>
      </c>
    </row>
    <row r="124" spans="1:8" ht="31.5" x14ac:dyDescent="0.25">
      <c r="A124" s="14" t="s">
        <v>67</v>
      </c>
      <c r="B124" s="15" t="s">
        <v>68</v>
      </c>
      <c r="D124" s="2"/>
      <c r="E124" s="17">
        <f>+E125</f>
        <v>193696.90000000002</v>
      </c>
      <c r="F124" s="17">
        <f t="shared" ref="F124:G125" si="30">+F125</f>
        <v>222508.3</v>
      </c>
      <c r="G124" s="17">
        <f t="shared" si="30"/>
        <v>235266.8</v>
      </c>
    </row>
    <row r="125" spans="1:8" ht="63" outlineLevel="2" x14ac:dyDescent="0.25">
      <c r="A125" s="9" t="s">
        <v>69</v>
      </c>
      <c r="B125" s="19" t="s">
        <v>70</v>
      </c>
      <c r="D125" s="2"/>
      <c r="E125" s="3">
        <f>+E126</f>
        <v>193696.90000000002</v>
      </c>
      <c r="F125" s="3">
        <f t="shared" si="30"/>
        <v>222508.3</v>
      </c>
      <c r="G125" s="3">
        <f t="shared" si="30"/>
        <v>235266.8</v>
      </c>
      <c r="H125" s="32"/>
    </row>
    <row r="126" spans="1:8" outlineLevel="2" x14ac:dyDescent="0.25">
      <c r="A126" s="21" t="s">
        <v>9</v>
      </c>
      <c r="B126" s="19" t="s">
        <v>70</v>
      </c>
      <c r="C126" s="2" t="s">
        <v>10</v>
      </c>
      <c r="D126" s="2"/>
      <c r="E126" s="3">
        <f>+E127+E129</f>
        <v>193696.90000000002</v>
      </c>
      <c r="F126" s="3">
        <f t="shared" ref="F126:G126" si="31">+F127+F129</f>
        <v>222508.3</v>
      </c>
      <c r="G126" s="3">
        <f t="shared" si="31"/>
        <v>235266.8</v>
      </c>
    </row>
    <row r="127" spans="1:8" ht="31.5" outlineLevel="2" x14ac:dyDescent="0.25">
      <c r="A127" s="21" t="s">
        <v>65</v>
      </c>
      <c r="B127" s="19" t="s">
        <v>70</v>
      </c>
      <c r="C127" s="2" t="s">
        <v>66</v>
      </c>
      <c r="D127" s="2"/>
      <c r="E127" s="3">
        <f>+E128</f>
        <v>2535.6</v>
      </c>
      <c r="F127" s="3">
        <f t="shared" ref="F127:G127" si="32">+F128</f>
        <v>0</v>
      </c>
      <c r="G127" s="3">
        <f t="shared" si="32"/>
        <v>0</v>
      </c>
    </row>
    <row r="128" spans="1:8" ht="47.25" outlineLevel="2" x14ac:dyDescent="0.25">
      <c r="A128" s="18" t="s">
        <v>94</v>
      </c>
      <c r="B128" s="19" t="s">
        <v>70</v>
      </c>
      <c r="C128" s="2" t="s">
        <v>66</v>
      </c>
      <c r="D128" s="2" t="s">
        <v>95</v>
      </c>
      <c r="E128" s="3">
        <v>2535.6</v>
      </c>
      <c r="F128" s="3">
        <v>0</v>
      </c>
      <c r="G128" s="20">
        <v>0</v>
      </c>
    </row>
    <row r="129" spans="1:7" ht="47.25" outlineLevel="2" x14ac:dyDescent="0.25">
      <c r="A129" s="9" t="s">
        <v>49</v>
      </c>
      <c r="B129" s="19" t="s">
        <v>70</v>
      </c>
      <c r="C129" s="2" t="s">
        <v>50</v>
      </c>
      <c r="D129" s="2"/>
      <c r="E129" s="3">
        <f>E130+E134</f>
        <v>191161.30000000002</v>
      </c>
      <c r="F129" s="3">
        <f>F130+F134</f>
        <v>222508.3</v>
      </c>
      <c r="G129" s="20">
        <f>G130+G134</f>
        <v>235266.8</v>
      </c>
    </row>
    <row r="130" spans="1:7" ht="31.5" outlineLevel="2" x14ac:dyDescent="0.25">
      <c r="A130" s="33" t="s">
        <v>155</v>
      </c>
      <c r="B130" s="19" t="s">
        <v>70</v>
      </c>
      <c r="C130" s="2" t="s">
        <v>71</v>
      </c>
      <c r="D130" s="2"/>
      <c r="E130" s="20">
        <f>E131</f>
        <v>3936.2</v>
      </c>
      <c r="F130" s="20">
        <f t="shared" ref="F130:G132" si="33">F131</f>
        <v>3932</v>
      </c>
      <c r="G130" s="20">
        <f t="shared" si="33"/>
        <v>3932</v>
      </c>
    </row>
    <row r="131" spans="1:7" ht="47.25" outlineLevel="2" x14ac:dyDescent="0.25">
      <c r="A131" s="33" t="s">
        <v>145</v>
      </c>
      <c r="B131" s="19" t="s">
        <v>70</v>
      </c>
      <c r="C131" s="19" t="s">
        <v>72</v>
      </c>
      <c r="D131" s="10"/>
      <c r="E131" s="20">
        <f>E132</f>
        <v>3936.2</v>
      </c>
      <c r="F131" s="20">
        <f t="shared" si="33"/>
        <v>3932</v>
      </c>
      <c r="G131" s="20">
        <f t="shared" si="33"/>
        <v>3932</v>
      </c>
    </row>
    <row r="132" spans="1:7" ht="31.5" outlineLevel="2" x14ac:dyDescent="0.25">
      <c r="A132" s="33" t="s">
        <v>146</v>
      </c>
      <c r="B132" s="19" t="s">
        <v>70</v>
      </c>
      <c r="C132" s="19" t="s">
        <v>147</v>
      </c>
      <c r="D132" s="10"/>
      <c r="E132" s="20">
        <f>E133</f>
        <v>3936.2</v>
      </c>
      <c r="F132" s="3">
        <f t="shared" si="33"/>
        <v>3932</v>
      </c>
      <c r="G132" s="20">
        <f t="shared" si="33"/>
        <v>3932</v>
      </c>
    </row>
    <row r="133" spans="1:7" ht="31.5" outlineLevel="2" x14ac:dyDescent="0.25">
      <c r="A133" s="21" t="s">
        <v>76</v>
      </c>
      <c r="B133" s="19" t="s">
        <v>70</v>
      </c>
      <c r="C133" s="19" t="s">
        <v>147</v>
      </c>
      <c r="D133" s="10">
        <v>200</v>
      </c>
      <c r="E133" s="20">
        <v>3936.2</v>
      </c>
      <c r="F133" s="20">
        <v>3932</v>
      </c>
      <c r="G133" s="20">
        <v>3932</v>
      </c>
    </row>
    <row r="134" spans="1:7" outlineLevel="2" x14ac:dyDescent="0.25">
      <c r="A134" s="21" t="s">
        <v>144</v>
      </c>
      <c r="B134" s="19" t="s">
        <v>70</v>
      </c>
      <c r="C134" s="19" t="s">
        <v>73</v>
      </c>
      <c r="D134" s="10"/>
      <c r="E134" s="20">
        <f>E135</f>
        <v>187225.1</v>
      </c>
      <c r="F134" s="20">
        <f t="shared" ref="F134:G134" si="34">F135</f>
        <v>218576.3</v>
      </c>
      <c r="G134" s="20">
        <f t="shared" si="34"/>
        <v>231334.8</v>
      </c>
    </row>
    <row r="135" spans="1:7" ht="126" outlineLevel="2" x14ac:dyDescent="0.25">
      <c r="A135" s="21" t="s">
        <v>506</v>
      </c>
      <c r="B135" s="19" t="s">
        <v>70</v>
      </c>
      <c r="C135" s="19" t="s">
        <v>74</v>
      </c>
      <c r="D135" s="10"/>
      <c r="E135" s="20">
        <f>E136+E138+E140+E144</f>
        <v>187225.1</v>
      </c>
      <c r="F135" s="3">
        <f t="shared" ref="F135:G135" si="35">F136+F138+F140+F144</f>
        <v>218576.3</v>
      </c>
      <c r="G135" s="20">
        <f t="shared" si="35"/>
        <v>231334.8</v>
      </c>
    </row>
    <row r="136" spans="1:7" ht="31.5" outlineLevel="2" x14ac:dyDescent="0.25">
      <c r="A136" s="21" t="s">
        <v>491</v>
      </c>
      <c r="B136" s="19" t="s">
        <v>70</v>
      </c>
      <c r="C136" s="19" t="s">
        <v>148</v>
      </c>
      <c r="D136" s="10"/>
      <c r="E136" s="20">
        <f>E137</f>
        <v>49591.6</v>
      </c>
      <c r="F136" s="20">
        <f>F137</f>
        <v>85886.9</v>
      </c>
      <c r="G136" s="20">
        <f>G137</f>
        <v>95058</v>
      </c>
    </row>
    <row r="137" spans="1:7" ht="31.5" outlineLevel="2" x14ac:dyDescent="0.25">
      <c r="A137" s="21" t="s">
        <v>76</v>
      </c>
      <c r="B137" s="19" t="s">
        <v>70</v>
      </c>
      <c r="C137" s="19" t="s">
        <v>148</v>
      </c>
      <c r="D137" s="10">
        <v>200</v>
      </c>
      <c r="E137" s="20">
        <v>49591.6</v>
      </c>
      <c r="F137" s="20">
        <f>49591.6+36295.3</f>
        <v>85886.9</v>
      </c>
      <c r="G137" s="20">
        <f>49591.6+45466.4</f>
        <v>95058</v>
      </c>
    </row>
    <row r="138" spans="1:7" ht="63" outlineLevel="2" x14ac:dyDescent="0.25">
      <c r="A138" s="21" t="s">
        <v>149</v>
      </c>
      <c r="B138" s="19" t="s">
        <v>70</v>
      </c>
      <c r="C138" s="19" t="s">
        <v>150</v>
      </c>
      <c r="D138" s="10"/>
      <c r="E138" s="20">
        <f>E139</f>
        <v>9607.5</v>
      </c>
      <c r="F138" s="3">
        <f t="shared" ref="F138:G138" si="36">F139</f>
        <v>14417.9</v>
      </c>
      <c r="G138" s="20">
        <f t="shared" si="36"/>
        <v>14417.9</v>
      </c>
    </row>
    <row r="139" spans="1:7" ht="31.5" outlineLevel="2" x14ac:dyDescent="0.25">
      <c r="A139" s="21" t="s">
        <v>76</v>
      </c>
      <c r="B139" s="19" t="s">
        <v>70</v>
      </c>
      <c r="C139" s="19" t="s">
        <v>150</v>
      </c>
      <c r="D139" s="10">
        <v>200</v>
      </c>
      <c r="E139" s="20">
        <f>9282.5+325</f>
        <v>9607.5</v>
      </c>
      <c r="F139" s="20">
        <f>6539.7+7878.2</f>
        <v>14417.9</v>
      </c>
      <c r="G139" s="20">
        <f>6539.7+7878.2</f>
        <v>14417.9</v>
      </c>
    </row>
    <row r="140" spans="1:7" ht="47.25" outlineLevel="2" x14ac:dyDescent="0.25">
      <c r="A140" s="21" t="s">
        <v>151</v>
      </c>
      <c r="B140" s="19" t="s">
        <v>70</v>
      </c>
      <c r="C140" s="19" t="s">
        <v>152</v>
      </c>
      <c r="D140" s="10"/>
      <c r="E140" s="20">
        <f>E141+E142+E143</f>
        <v>126989.3</v>
      </c>
      <c r="F140" s="20">
        <f t="shared" ref="F140:G140" si="37">F141+F142+F143</f>
        <v>118271.5</v>
      </c>
      <c r="G140" s="20">
        <f t="shared" si="37"/>
        <v>121858.9</v>
      </c>
    </row>
    <row r="141" spans="1:7" ht="94.5" outlineLevel="2" x14ac:dyDescent="0.25">
      <c r="A141" s="18" t="s">
        <v>13</v>
      </c>
      <c r="B141" s="19" t="s">
        <v>70</v>
      </c>
      <c r="C141" s="19" t="s">
        <v>152</v>
      </c>
      <c r="D141" s="10">
        <v>100</v>
      </c>
      <c r="E141" s="20">
        <f>103569.8+2808.5</f>
        <v>106378.3</v>
      </c>
      <c r="F141" s="3">
        <v>103024.7</v>
      </c>
      <c r="G141" s="20">
        <v>106919.4</v>
      </c>
    </row>
    <row r="142" spans="1:7" ht="31.5" outlineLevel="2" x14ac:dyDescent="0.25">
      <c r="A142" s="18" t="s">
        <v>76</v>
      </c>
      <c r="B142" s="19" t="s">
        <v>70</v>
      </c>
      <c r="C142" s="19" t="s">
        <v>152</v>
      </c>
      <c r="D142" s="10">
        <v>200</v>
      </c>
      <c r="E142" s="20">
        <f>18900.9+306.4</f>
        <v>19207.300000000003</v>
      </c>
      <c r="F142" s="20">
        <v>14402</v>
      </c>
      <c r="G142" s="20">
        <v>14094.7</v>
      </c>
    </row>
    <row r="143" spans="1:7" outlineLevel="2" x14ac:dyDescent="0.25">
      <c r="A143" s="23" t="s">
        <v>33</v>
      </c>
      <c r="B143" s="19" t="s">
        <v>70</v>
      </c>
      <c r="C143" s="19" t="s">
        <v>152</v>
      </c>
      <c r="D143" s="10">
        <v>800</v>
      </c>
      <c r="E143" s="20">
        <f>844.8+558.9</f>
        <v>1403.6999999999998</v>
      </c>
      <c r="F143" s="20">
        <v>844.8</v>
      </c>
      <c r="G143" s="20">
        <v>844.8</v>
      </c>
    </row>
    <row r="144" spans="1:7" ht="78.75" outlineLevel="2" x14ac:dyDescent="0.25">
      <c r="A144" s="23" t="s">
        <v>737</v>
      </c>
      <c r="B144" s="19" t="s">
        <v>70</v>
      </c>
      <c r="C144" s="19" t="s">
        <v>647</v>
      </c>
      <c r="D144" s="10"/>
      <c r="E144" s="20">
        <f>+E145</f>
        <v>1036.7</v>
      </c>
      <c r="F144" s="3">
        <f t="shared" ref="F144:G144" si="38">+F145</f>
        <v>0</v>
      </c>
      <c r="G144" s="20">
        <f t="shared" si="38"/>
        <v>0</v>
      </c>
    </row>
    <row r="145" spans="1:7" ht="31.5" outlineLevel="2" x14ac:dyDescent="0.25">
      <c r="A145" s="34" t="s">
        <v>20</v>
      </c>
      <c r="B145" s="19" t="s">
        <v>70</v>
      </c>
      <c r="C145" s="19" t="s">
        <v>647</v>
      </c>
      <c r="D145" s="19" t="s">
        <v>558</v>
      </c>
      <c r="E145" s="20">
        <v>1036.7</v>
      </c>
      <c r="F145" s="20">
        <v>0</v>
      </c>
      <c r="G145" s="20">
        <v>0</v>
      </c>
    </row>
    <row r="146" spans="1:7" x14ac:dyDescent="0.25">
      <c r="A146" s="35" t="s">
        <v>48</v>
      </c>
      <c r="B146" s="36" t="s">
        <v>290</v>
      </c>
      <c r="C146" s="37"/>
      <c r="D146" s="37"/>
      <c r="E146" s="17">
        <f>E157+E173+E285+E147+E153</f>
        <v>2005307.2999999998</v>
      </c>
      <c r="F146" s="17">
        <f>F157+F173+F285+F147</f>
        <v>2789779.3</v>
      </c>
      <c r="G146" s="17">
        <f>G157+G173+G285+G147</f>
        <v>941914.00000000012</v>
      </c>
    </row>
    <row r="147" spans="1:7" outlineLevel="1" x14ac:dyDescent="0.25">
      <c r="A147" s="9" t="s">
        <v>377</v>
      </c>
      <c r="B147" s="24" t="s">
        <v>378</v>
      </c>
      <c r="C147" s="24"/>
      <c r="D147" s="25"/>
      <c r="E147" s="20">
        <f>E148</f>
        <v>20296.900000000001</v>
      </c>
      <c r="F147" s="20">
        <f>F148</f>
        <v>20296.900000000001</v>
      </c>
      <c r="G147" s="20">
        <f t="shared" ref="F147:G151" si="39">G148</f>
        <v>20296.900000000001</v>
      </c>
    </row>
    <row r="148" spans="1:7" ht="47.25" outlineLevel="2" x14ac:dyDescent="0.25">
      <c r="A148" s="21" t="s">
        <v>49</v>
      </c>
      <c r="B148" s="24" t="s">
        <v>378</v>
      </c>
      <c r="C148" s="19" t="s">
        <v>50</v>
      </c>
      <c r="D148" s="25"/>
      <c r="E148" s="20">
        <f>E149</f>
        <v>20296.900000000001</v>
      </c>
      <c r="F148" s="20">
        <f t="shared" si="39"/>
        <v>20296.900000000001</v>
      </c>
      <c r="G148" s="20">
        <f t="shared" si="39"/>
        <v>20296.900000000001</v>
      </c>
    </row>
    <row r="149" spans="1:7" ht="31.5" outlineLevel="2" x14ac:dyDescent="0.25">
      <c r="A149" s="18" t="s">
        <v>155</v>
      </c>
      <c r="B149" s="24" t="s">
        <v>378</v>
      </c>
      <c r="C149" s="24" t="s">
        <v>71</v>
      </c>
      <c r="D149" s="25"/>
      <c r="E149" s="3">
        <f>E150</f>
        <v>20296.900000000001</v>
      </c>
      <c r="F149" s="3">
        <f t="shared" si="39"/>
        <v>20296.900000000001</v>
      </c>
      <c r="G149" s="3">
        <f t="shared" si="39"/>
        <v>20296.900000000001</v>
      </c>
    </row>
    <row r="150" spans="1:7" ht="47.25" outlineLevel="2" x14ac:dyDescent="0.25">
      <c r="A150" s="18" t="s">
        <v>379</v>
      </c>
      <c r="B150" s="24" t="s">
        <v>378</v>
      </c>
      <c r="C150" s="24" t="s">
        <v>380</v>
      </c>
      <c r="D150" s="25"/>
      <c r="E150" s="20">
        <f>E151</f>
        <v>20296.900000000001</v>
      </c>
      <c r="F150" s="20">
        <f t="shared" si="39"/>
        <v>20296.900000000001</v>
      </c>
      <c r="G150" s="20">
        <f t="shared" si="39"/>
        <v>20296.900000000001</v>
      </c>
    </row>
    <row r="151" spans="1:7" ht="71.25" customHeight="1" outlineLevel="2" x14ac:dyDescent="0.25">
      <c r="A151" s="1" t="s">
        <v>381</v>
      </c>
      <c r="B151" s="24" t="s">
        <v>378</v>
      </c>
      <c r="C151" s="19" t="s">
        <v>382</v>
      </c>
      <c r="D151" s="25"/>
      <c r="E151" s="20">
        <f>E152</f>
        <v>20296.900000000001</v>
      </c>
      <c r="F151" s="20">
        <f t="shared" si="39"/>
        <v>20296.900000000001</v>
      </c>
      <c r="G151" s="20">
        <f t="shared" si="39"/>
        <v>20296.900000000001</v>
      </c>
    </row>
    <row r="152" spans="1:7" ht="31.5" outlineLevel="2" x14ac:dyDescent="0.25">
      <c r="A152" s="21" t="s">
        <v>76</v>
      </c>
      <c r="B152" s="24" t="s">
        <v>378</v>
      </c>
      <c r="C152" s="19" t="s">
        <v>382</v>
      </c>
      <c r="D152" s="25">
        <v>200</v>
      </c>
      <c r="E152" s="3">
        <v>20296.900000000001</v>
      </c>
      <c r="F152" s="3">
        <v>20296.900000000001</v>
      </c>
      <c r="G152" s="3">
        <v>20296.900000000001</v>
      </c>
    </row>
    <row r="153" spans="1:7" outlineLevel="2" x14ac:dyDescent="0.25">
      <c r="A153" s="21" t="s">
        <v>648</v>
      </c>
      <c r="B153" s="19" t="s">
        <v>650</v>
      </c>
      <c r="C153" s="19"/>
      <c r="D153" s="19"/>
      <c r="E153" s="3">
        <f>+E154</f>
        <v>232.6</v>
      </c>
      <c r="F153" s="20">
        <f t="shared" ref="F153:G155" si="40">+F154</f>
        <v>0</v>
      </c>
      <c r="G153" s="20">
        <f t="shared" si="40"/>
        <v>0</v>
      </c>
    </row>
    <row r="154" spans="1:7" outlineLevel="2" x14ac:dyDescent="0.25">
      <c r="A154" s="18" t="s">
        <v>9</v>
      </c>
      <c r="B154" s="19" t="s">
        <v>650</v>
      </c>
      <c r="C154" s="19" t="s">
        <v>10</v>
      </c>
      <c r="D154" s="19"/>
      <c r="E154" s="3">
        <f>+E155</f>
        <v>232.6</v>
      </c>
      <c r="F154" s="20">
        <f t="shared" si="40"/>
        <v>0</v>
      </c>
      <c r="G154" s="20">
        <f t="shared" si="40"/>
        <v>0</v>
      </c>
    </row>
    <row r="155" spans="1:7" ht="94.5" outlineLevel="2" x14ac:dyDescent="0.25">
      <c r="A155" s="21" t="s">
        <v>649</v>
      </c>
      <c r="B155" s="19" t="s">
        <v>650</v>
      </c>
      <c r="C155" s="19" t="s">
        <v>651</v>
      </c>
      <c r="D155" s="19"/>
      <c r="E155" s="3">
        <f>+E156</f>
        <v>232.6</v>
      </c>
      <c r="F155" s="3">
        <f t="shared" si="40"/>
        <v>0</v>
      </c>
      <c r="G155" s="3">
        <f t="shared" si="40"/>
        <v>0</v>
      </c>
    </row>
    <row r="156" spans="1:7" ht="47.25" outlineLevel="2" x14ac:dyDescent="0.25">
      <c r="A156" s="23" t="s">
        <v>310</v>
      </c>
      <c r="B156" s="19" t="s">
        <v>650</v>
      </c>
      <c r="C156" s="19" t="s">
        <v>651</v>
      </c>
      <c r="D156" s="19" t="s">
        <v>464</v>
      </c>
      <c r="E156" s="3">
        <v>232.6</v>
      </c>
      <c r="F156" s="20">
        <v>0</v>
      </c>
      <c r="G156" s="20">
        <v>0</v>
      </c>
    </row>
    <row r="157" spans="1:7" outlineLevel="1" x14ac:dyDescent="0.25">
      <c r="A157" s="34" t="s">
        <v>291</v>
      </c>
      <c r="B157" s="24" t="s">
        <v>292</v>
      </c>
      <c r="C157" s="36"/>
      <c r="D157" s="2"/>
      <c r="E157" s="3">
        <f>E158</f>
        <v>150244.5</v>
      </c>
      <c r="F157" s="20">
        <f t="shared" ref="F157:G163" si="41">F158</f>
        <v>338311</v>
      </c>
      <c r="G157" s="20">
        <f t="shared" si="41"/>
        <v>454181.80000000005</v>
      </c>
    </row>
    <row r="158" spans="1:7" ht="31.5" outlineLevel="2" x14ac:dyDescent="0.25">
      <c r="A158" s="34" t="s">
        <v>293</v>
      </c>
      <c r="B158" s="24" t="s">
        <v>292</v>
      </c>
      <c r="C158" s="24" t="s">
        <v>294</v>
      </c>
      <c r="D158" s="25"/>
      <c r="E158" s="3">
        <f>E163+E159</f>
        <v>150244.5</v>
      </c>
      <c r="F158" s="3">
        <f t="shared" ref="F158:G158" si="42">F163+F159</f>
        <v>338311</v>
      </c>
      <c r="G158" s="3">
        <f t="shared" si="42"/>
        <v>454181.80000000005</v>
      </c>
    </row>
    <row r="159" spans="1:7" ht="31.5" outlineLevel="2" x14ac:dyDescent="0.25">
      <c r="A159" s="18" t="s">
        <v>155</v>
      </c>
      <c r="B159" s="19" t="s">
        <v>292</v>
      </c>
      <c r="C159" s="19" t="s">
        <v>306</v>
      </c>
      <c r="D159" s="25"/>
      <c r="E159" s="3">
        <f>E160</f>
        <v>0</v>
      </c>
      <c r="F159" s="3">
        <f t="shared" ref="F159:G160" si="43">F160</f>
        <v>289777.90000000002</v>
      </c>
      <c r="G159" s="3">
        <f t="shared" si="43"/>
        <v>384777.9</v>
      </c>
    </row>
    <row r="160" spans="1:7" ht="47.25" outlineLevel="2" x14ac:dyDescent="0.25">
      <c r="A160" s="21" t="s">
        <v>874</v>
      </c>
      <c r="B160" s="19" t="s">
        <v>292</v>
      </c>
      <c r="C160" s="19" t="s">
        <v>875</v>
      </c>
      <c r="D160" s="25"/>
      <c r="E160" s="3">
        <f>E161</f>
        <v>0</v>
      </c>
      <c r="F160" s="3">
        <f t="shared" si="43"/>
        <v>289777.90000000002</v>
      </c>
      <c r="G160" s="3">
        <f t="shared" si="43"/>
        <v>384777.9</v>
      </c>
    </row>
    <row r="161" spans="1:7" ht="63" outlineLevel="2" x14ac:dyDescent="0.25">
      <c r="A161" s="21" t="s">
        <v>850</v>
      </c>
      <c r="B161" s="19" t="s">
        <v>292</v>
      </c>
      <c r="C161" s="19" t="s">
        <v>873</v>
      </c>
      <c r="D161" s="19"/>
      <c r="E161" s="20">
        <f>+E162</f>
        <v>0</v>
      </c>
      <c r="F161" s="20">
        <f t="shared" ref="F161:G161" si="44">+F162</f>
        <v>289777.90000000002</v>
      </c>
      <c r="G161" s="20">
        <f t="shared" si="44"/>
        <v>384777.9</v>
      </c>
    </row>
    <row r="162" spans="1:7" ht="31.5" outlineLevel="2" x14ac:dyDescent="0.25">
      <c r="A162" s="21" t="s">
        <v>76</v>
      </c>
      <c r="B162" s="19" t="s">
        <v>292</v>
      </c>
      <c r="C162" s="19" t="s">
        <v>873</v>
      </c>
      <c r="D162" s="19" t="s">
        <v>39</v>
      </c>
      <c r="E162" s="20">
        <v>0</v>
      </c>
      <c r="F162" s="20">
        <v>289777.90000000002</v>
      </c>
      <c r="G162" s="20">
        <v>384777.9</v>
      </c>
    </row>
    <row r="163" spans="1:7" outlineLevel="2" x14ac:dyDescent="0.25">
      <c r="A163" s="33" t="s">
        <v>144</v>
      </c>
      <c r="B163" s="31" t="s">
        <v>292</v>
      </c>
      <c r="C163" s="31" t="s">
        <v>295</v>
      </c>
      <c r="D163" s="25"/>
      <c r="E163" s="20">
        <f>E164</f>
        <v>150244.5</v>
      </c>
      <c r="F163" s="20">
        <f t="shared" si="41"/>
        <v>48533.099999999991</v>
      </c>
      <c r="G163" s="20">
        <f t="shared" si="41"/>
        <v>69403.900000000009</v>
      </c>
    </row>
    <row r="164" spans="1:7" ht="78.75" outlineLevel="2" x14ac:dyDescent="0.25">
      <c r="A164" s="34" t="s">
        <v>492</v>
      </c>
      <c r="B164" s="24" t="s">
        <v>292</v>
      </c>
      <c r="C164" s="24" t="s">
        <v>296</v>
      </c>
      <c r="D164" s="25"/>
      <c r="E164" s="20">
        <f>E165+E167+E169+E171</f>
        <v>150244.5</v>
      </c>
      <c r="F164" s="20">
        <f t="shared" ref="F164:G164" si="45">F165+F167+F169+F171</f>
        <v>48533.099999999991</v>
      </c>
      <c r="G164" s="20">
        <f t="shared" si="45"/>
        <v>69403.900000000009</v>
      </c>
    </row>
    <row r="165" spans="1:7" ht="78.75" outlineLevel="2" x14ac:dyDescent="0.25">
      <c r="A165" s="21" t="s">
        <v>297</v>
      </c>
      <c r="B165" s="24" t="s">
        <v>292</v>
      </c>
      <c r="C165" s="24" t="s">
        <v>298</v>
      </c>
      <c r="D165" s="25"/>
      <c r="E165" s="3">
        <f>E166</f>
        <v>0.1</v>
      </c>
      <c r="F165" s="3">
        <f t="shared" ref="F165:G165" si="46">F166</f>
        <v>0.1</v>
      </c>
      <c r="G165" s="3">
        <f t="shared" si="46"/>
        <v>0.1</v>
      </c>
    </row>
    <row r="166" spans="1:7" ht="31.5" outlineLevel="2" x14ac:dyDescent="0.25">
      <c r="A166" s="21" t="s">
        <v>76</v>
      </c>
      <c r="B166" s="24" t="s">
        <v>292</v>
      </c>
      <c r="C166" s="24" t="s">
        <v>298</v>
      </c>
      <c r="D166" s="25">
        <v>200</v>
      </c>
      <c r="E166" s="20">
        <v>0.1</v>
      </c>
      <c r="F166" s="20">
        <v>0.1</v>
      </c>
      <c r="G166" s="20">
        <v>0.1</v>
      </c>
    </row>
    <row r="167" spans="1:7" ht="63" outlineLevel="2" x14ac:dyDescent="0.25">
      <c r="A167" s="34" t="s">
        <v>299</v>
      </c>
      <c r="B167" s="24" t="s">
        <v>292</v>
      </c>
      <c r="C167" s="24" t="s">
        <v>300</v>
      </c>
      <c r="D167" s="25"/>
      <c r="E167" s="20">
        <f>E168</f>
        <v>91442.700000000012</v>
      </c>
      <c r="F167" s="20">
        <f t="shared" ref="F167:G167" si="47">F168</f>
        <v>47840.999999999993</v>
      </c>
      <c r="G167" s="20">
        <f t="shared" si="47"/>
        <v>68684.100000000006</v>
      </c>
    </row>
    <row r="168" spans="1:7" outlineLevel="2" x14ac:dyDescent="0.25">
      <c r="A168" s="38" t="s">
        <v>33</v>
      </c>
      <c r="B168" s="24" t="s">
        <v>292</v>
      </c>
      <c r="C168" s="24" t="s">
        <v>300</v>
      </c>
      <c r="D168" s="25">
        <v>800</v>
      </c>
      <c r="E168" s="3">
        <v>91442.700000000012</v>
      </c>
      <c r="F168" s="3">
        <f>66042.4-18201.4</f>
        <v>47840.999999999993</v>
      </c>
      <c r="G168" s="3">
        <v>68684.100000000006</v>
      </c>
    </row>
    <row r="169" spans="1:7" ht="119.25" customHeight="1" outlineLevel="2" x14ac:dyDescent="0.25">
      <c r="A169" s="38" t="s">
        <v>301</v>
      </c>
      <c r="B169" s="24" t="s">
        <v>292</v>
      </c>
      <c r="C169" s="24" t="s">
        <v>302</v>
      </c>
      <c r="D169" s="25"/>
      <c r="E169" s="20">
        <f>E170</f>
        <v>701.69999999999993</v>
      </c>
      <c r="F169" s="20">
        <f t="shared" ref="F169:G169" si="48">F170</f>
        <v>692</v>
      </c>
      <c r="G169" s="20">
        <f t="shared" si="48"/>
        <v>719.7</v>
      </c>
    </row>
    <row r="170" spans="1:7" outlineLevel="2" x14ac:dyDescent="0.25">
      <c r="A170" s="38" t="s">
        <v>33</v>
      </c>
      <c r="B170" s="24" t="s">
        <v>292</v>
      </c>
      <c r="C170" s="24" t="s">
        <v>302</v>
      </c>
      <c r="D170" s="25">
        <v>800</v>
      </c>
      <c r="E170" s="20">
        <v>701.69999999999993</v>
      </c>
      <c r="F170" s="20">
        <v>692</v>
      </c>
      <c r="G170" s="20">
        <v>719.7</v>
      </c>
    </row>
    <row r="171" spans="1:7" ht="100.5" customHeight="1" outlineLevel="2" x14ac:dyDescent="0.25">
      <c r="A171" s="23" t="s">
        <v>599</v>
      </c>
      <c r="B171" s="19" t="s">
        <v>292</v>
      </c>
      <c r="C171" s="19" t="s">
        <v>600</v>
      </c>
      <c r="D171" s="19"/>
      <c r="E171" s="3">
        <f>E172</f>
        <v>58100</v>
      </c>
      <c r="F171" s="3">
        <f t="shared" ref="F171:G171" si="49">F172</f>
        <v>0</v>
      </c>
      <c r="G171" s="3">
        <f t="shared" si="49"/>
        <v>0</v>
      </c>
    </row>
    <row r="172" spans="1:7" outlineLevel="2" x14ac:dyDescent="0.25">
      <c r="A172" s="23" t="s">
        <v>33</v>
      </c>
      <c r="B172" s="19" t="s">
        <v>292</v>
      </c>
      <c r="C172" s="19" t="s">
        <v>600</v>
      </c>
      <c r="D172" s="19">
        <v>800</v>
      </c>
      <c r="E172" s="20">
        <v>58100</v>
      </c>
      <c r="F172" s="20">
        <v>0</v>
      </c>
      <c r="G172" s="20">
        <v>0</v>
      </c>
    </row>
    <row r="173" spans="1:7" outlineLevel="1" x14ac:dyDescent="0.25">
      <c r="A173" s="34" t="s">
        <v>303</v>
      </c>
      <c r="B173" s="24" t="s">
        <v>304</v>
      </c>
      <c r="C173" s="24"/>
      <c r="D173" s="25"/>
      <c r="E173" s="20">
        <f>E174+E280</f>
        <v>1799082.9</v>
      </c>
      <c r="F173" s="20">
        <f>F174+F280</f>
        <v>2419010.1</v>
      </c>
      <c r="G173" s="20">
        <f>G174+G280</f>
        <v>455251.80000000005</v>
      </c>
    </row>
    <row r="174" spans="1:7" ht="31.5" outlineLevel="2" x14ac:dyDescent="0.25">
      <c r="A174" s="34" t="s">
        <v>293</v>
      </c>
      <c r="B174" s="24" t="s">
        <v>304</v>
      </c>
      <c r="C174" s="24" t="s">
        <v>294</v>
      </c>
      <c r="D174" s="25"/>
      <c r="E174" s="3">
        <f>E175+E235+E273</f>
        <v>1798750.2999999998</v>
      </c>
      <c r="F174" s="3">
        <f>F175+F235+F273</f>
        <v>2419010.1</v>
      </c>
      <c r="G174" s="3">
        <f>G175+G235+G273</f>
        <v>455251.80000000005</v>
      </c>
    </row>
    <row r="175" spans="1:7" outlineLevel="2" x14ac:dyDescent="0.25">
      <c r="A175" s="34" t="s">
        <v>228</v>
      </c>
      <c r="B175" s="24" t="s">
        <v>304</v>
      </c>
      <c r="C175" s="24" t="s">
        <v>305</v>
      </c>
      <c r="D175" s="25"/>
      <c r="E175" s="20">
        <f>+E176</f>
        <v>888650</v>
      </c>
      <c r="F175" s="20">
        <f t="shared" ref="F175:G175" si="50">+F176</f>
        <v>1905170.3</v>
      </c>
      <c r="G175" s="20">
        <f t="shared" si="50"/>
        <v>5</v>
      </c>
    </row>
    <row r="176" spans="1:7" ht="31.5" outlineLevel="2" x14ac:dyDescent="0.25">
      <c r="A176" s="18" t="s">
        <v>572</v>
      </c>
      <c r="B176" s="19" t="s">
        <v>304</v>
      </c>
      <c r="C176" s="19" t="s">
        <v>573</v>
      </c>
      <c r="D176" s="19"/>
      <c r="E176" s="20">
        <f>E177+E179+E181+E183+E185+E187+E189+E191+E197+E193+E195+E199+E201+E203+E205+E207+E209+E211+E213+E223+E215</f>
        <v>888650</v>
      </c>
      <c r="F176" s="20">
        <f>F177+F179+F181+F183+F185+F187+F189+F191+F197+F193+F195+F199+F201+F203+F205+F207+F209+F211+F213+F223+F215+F217+F219+F221+F225+F227+F229+F231+F233</f>
        <v>1905170.3</v>
      </c>
      <c r="G176" s="20">
        <f t="shared" ref="G176" si="51">G177+G179+G181+G183+G185+G187+G189+G191+G197+G193+G195+G199+G201+G203+G205+G207+G209+G211+G213+G223+G215</f>
        <v>5</v>
      </c>
    </row>
    <row r="177" spans="1:7" ht="78.75" outlineLevel="2" x14ac:dyDescent="0.25">
      <c r="A177" s="39" t="s">
        <v>654</v>
      </c>
      <c r="B177" s="19" t="s">
        <v>304</v>
      </c>
      <c r="C177" s="40" t="s">
        <v>655</v>
      </c>
      <c r="D177" s="19"/>
      <c r="E177" s="20">
        <f>+E178</f>
        <v>31678.799999999999</v>
      </c>
      <c r="F177" s="20">
        <f t="shared" ref="F177:G177" si="52">+F178</f>
        <v>0</v>
      </c>
      <c r="G177" s="20">
        <f t="shared" si="52"/>
        <v>0</v>
      </c>
    </row>
    <row r="178" spans="1:7" ht="31.5" outlineLevel="2" x14ac:dyDescent="0.25">
      <c r="A178" s="18" t="s">
        <v>76</v>
      </c>
      <c r="B178" s="19" t="s">
        <v>304</v>
      </c>
      <c r="C178" s="40" t="s">
        <v>655</v>
      </c>
      <c r="D178" s="19" t="s">
        <v>39</v>
      </c>
      <c r="E178" s="3">
        <v>31678.799999999999</v>
      </c>
      <c r="F178" s="3">
        <v>0</v>
      </c>
      <c r="G178" s="3">
        <v>0</v>
      </c>
    </row>
    <row r="179" spans="1:7" ht="78.75" outlineLevel="2" x14ac:dyDescent="0.25">
      <c r="A179" s="39" t="s">
        <v>656</v>
      </c>
      <c r="B179" s="19" t="s">
        <v>304</v>
      </c>
      <c r="C179" s="40" t="s">
        <v>659</v>
      </c>
      <c r="D179" s="19"/>
      <c r="E179" s="20">
        <f t="shared" ref="E179:G179" si="53">E180</f>
        <v>49849.2</v>
      </c>
      <c r="F179" s="20">
        <f t="shared" si="53"/>
        <v>0</v>
      </c>
      <c r="G179" s="20">
        <f t="shared" si="53"/>
        <v>0</v>
      </c>
    </row>
    <row r="180" spans="1:7" ht="31.5" outlineLevel="2" x14ac:dyDescent="0.25">
      <c r="A180" s="18" t="s">
        <v>76</v>
      </c>
      <c r="B180" s="19" t="s">
        <v>304</v>
      </c>
      <c r="C180" s="40" t="s">
        <v>659</v>
      </c>
      <c r="D180" s="19" t="s">
        <v>39</v>
      </c>
      <c r="E180" s="20">
        <v>49849.2</v>
      </c>
      <c r="F180" s="20">
        <v>0</v>
      </c>
      <c r="G180" s="20">
        <v>0</v>
      </c>
    </row>
    <row r="181" spans="1:7" ht="78.75" outlineLevel="2" x14ac:dyDescent="0.25">
      <c r="A181" s="39" t="s">
        <v>657</v>
      </c>
      <c r="B181" s="19" t="s">
        <v>304</v>
      </c>
      <c r="C181" s="40" t="s">
        <v>660</v>
      </c>
      <c r="D181" s="19"/>
      <c r="E181" s="3">
        <f t="shared" ref="E181:G181" si="54">E182</f>
        <v>73740.399999999994</v>
      </c>
      <c r="F181" s="3">
        <f t="shared" si="54"/>
        <v>0</v>
      </c>
      <c r="G181" s="3">
        <f t="shared" si="54"/>
        <v>0</v>
      </c>
    </row>
    <row r="182" spans="1:7" ht="31.5" outlineLevel="2" x14ac:dyDescent="0.25">
      <c r="A182" s="18" t="s">
        <v>76</v>
      </c>
      <c r="B182" s="19" t="s">
        <v>304</v>
      </c>
      <c r="C182" s="40" t="s">
        <v>660</v>
      </c>
      <c r="D182" s="19" t="s">
        <v>39</v>
      </c>
      <c r="E182" s="20">
        <v>73740.399999999994</v>
      </c>
      <c r="F182" s="20">
        <v>0</v>
      </c>
      <c r="G182" s="20">
        <v>0</v>
      </c>
    </row>
    <row r="183" spans="1:7" ht="78.75" outlineLevel="2" x14ac:dyDescent="0.25">
      <c r="A183" s="39" t="s">
        <v>658</v>
      </c>
      <c r="B183" s="19" t="s">
        <v>304</v>
      </c>
      <c r="C183" s="40" t="s">
        <v>661</v>
      </c>
      <c r="D183" s="19"/>
      <c r="E183" s="20">
        <f t="shared" ref="E183:G183" si="55">E184</f>
        <v>0</v>
      </c>
      <c r="F183" s="20">
        <f t="shared" si="55"/>
        <v>55666.400000000001</v>
      </c>
      <c r="G183" s="20">
        <f t="shared" si="55"/>
        <v>0</v>
      </c>
    </row>
    <row r="184" spans="1:7" ht="31.5" outlineLevel="2" x14ac:dyDescent="0.25">
      <c r="A184" s="18" t="s">
        <v>76</v>
      </c>
      <c r="B184" s="19" t="s">
        <v>304</v>
      </c>
      <c r="C184" s="40" t="s">
        <v>661</v>
      </c>
      <c r="D184" s="19" t="s">
        <v>39</v>
      </c>
      <c r="E184" s="3">
        <v>0</v>
      </c>
      <c r="F184" s="3">
        <v>55666.400000000001</v>
      </c>
      <c r="G184" s="3">
        <v>0</v>
      </c>
    </row>
    <row r="185" spans="1:7" ht="78.75" outlineLevel="2" x14ac:dyDescent="0.25">
      <c r="A185" s="39" t="s">
        <v>662</v>
      </c>
      <c r="B185" s="19" t="s">
        <v>304</v>
      </c>
      <c r="C185" s="40" t="s">
        <v>665</v>
      </c>
      <c r="D185" s="19"/>
      <c r="E185" s="20">
        <f t="shared" ref="E185:G185" si="56">E186</f>
        <v>0</v>
      </c>
      <c r="F185" s="20">
        <f t="shared" si="56"/>
        <v>20767.599999999999</v>
      </c>
      <c r="G185" s="20">
        <f t="shared" si="56"/>
        <v>0</v>
      </c>
    </row>
    <row r="186" spans="1:7" ht="31.5" outlineLevel="2" x14ac:dyDescent="0.25">
      <c r="A186" s="18" t="s">
        <v>76</v>
      </c>
      <c r="B186" s="19" t="s">
        <v>304</v>
      </c>
      <c r="C186" s="40" t="s">
        <v>665</v>
      </c>
      <c r="D186" s="19" t="s">
        <v>39</v>
      </c>
      <c r="E186" s="20">
        <v>0</v>
      </c>
      <c r="F186" s="20">
        <v>20767.599999999999</v>
      </c>
      <c r="G186" s="20">
        <v>0</v>
      </c>
    </row>
    <row r="187" spans="1:7" ht="78.75" outlineLevel="2" x14ac:dyDescent="0.25">
      <c r="A187" s="39" t="s">
        <v>663</v>
      </c>
      <c r="B187" s="19" t="s">
        <v>304</v>
      </c>
      <c r="C187" s="40" t="s">
        <v>666</v>
      </c>
      <c r="D187" s="19"/>
      <c r="E187" s="3">
        <f t="shared" ref="E187:G187" si="57">E188</f>
        <v>4209.7999999999993</v>
      </c>
      <c r="F187" s="3">
        <f t="shared" si="57"/>
        <v>17513.400000000001</v>
      </c>
      <c r="G187" s="3">
        <f t="shared" si="57"/>
        <v>0</v>
      </c>
    </row>
    <row r="188" spans="1:7" ht="31.5" outlineLevel="2" x14ac:dyDescent="0.25">
      <c r="A188" s="18" t="s">
        <v>76</v>
      </c>
      <c r="B188" s="19" t="s">
        <v>304</v>
      </c>
      <c r="C188" s="40" t="s">
        <v>666</v>
      </c>
      <c r="D188" s="19" t="s">
        <v>39</v>
      </c>
      <c r="E188" s="20">
        <v>4209.7999999999993</v>
      </c>
      <c r="F188" s="20">
        <v>17513.400000000001</v>
      </c>
      <c r="G188" s="20">
        <v>0</v>
      </c>
    </row>
    <row r="189" spans="1:7" ht="78.75" outlineLevel="2" x14ac:dyDescent="0.25">
      <c r="A189" s="39" t="s">
        <v>664</v>
      </c>
      <c r="B189" s="19" t="s">
        <v>304</v>
      </c>
      <c r="C189" s="40" t="s">
        <v>667</v>
      </c>
      <c r="D189" s="19"/>
      <c r="E189" s="20">
        <f t="shared" ref="E189:G189" si="58">E190</f>
        <v>43293.599999999999</v>
      </c>
      <c r="F189" s="20">
        <f t="shared" si="58"/>
        <v>0</v>
      </c>
      <c r="G189" s="20">
        <f t="shared" si="58"/>
        <v>0</v>
      </c>
    </row>
    <row r="190" spans="1:7" ht="31.5" outlineLevel="2" x14ac:dyDescent="0.25">
      <c r="A190" s="18" t="s">
        <v>76</v>
      </c>
      <c r="B190" s="19" t="s">
        <v>304</v>
      </c>
      <c r="C190" s="40" t="s">
        <v>667</v>
      </c>
      <c r="D190" s="19" t="s">
        <v>39</v>
      </c>
      <c r="E190" s="3">
        <v>43293.599999999999</v>
      </c>
      <c r="F190" s="3">
        <v>0</v>
      </c>
      <c r="G190" s="3">
        <v>0</v>
      </c>
    </row>
    <row r="191" spans="1:7" ht="78.75" outlineLevel="2" x14ac:dyDescent="0.25">
      <c r="A191" s="39" t="s">
        <v>668</v>
      </c>
      <c r="B191" s="19" t="s">
        <v>304</v>
      </c>
      <c r="C191" s="40" t="s">
        <v>670</v>
      </c>
      <c r="D191" s="19"/>
      <c r="E191" s="20">
        <f t="shared" ref="E191:G191" si="59">E192</f>
        <v>58037.5</v>
      </c>
      <c r="F191" s="20">
        <f t="shared" si="59"/>
        <v>0</v>
      </c>
      <c r="G191" s="20">
        <f t="shared" si="59"/>
        <v>0</v>
      </c>
    </row>
    <row r="192" spans="1:7" ht="31.5" outlineLevel="2" x14ac:dyDescent="0.25">
      <c r="A192" s="18" t="s">
        <v>76</v>
      </c>
      <c r="B192" s="19" t="s">
        <v>304</v>
      </c>
      <c r="C192" s="40" t="s">
        <v>670</v>
      </c>
      <c r="D192" s="19" t="s">
        <v>39</v>
      </c>
      <c r="E192" s="20">
        <v>58037.5</v>
      </c>
      <c r="F192" s="20">
        <v>0</v>
      </c>
      <c r="G192" s="20">
        <v>0</v>
      </c>
    </row>
    <row r="193" spans="1:7" ht="78.75" outlineLevel="2" x14ac:dyDescent="0.25">
      <c r="A193" s="39" t="s">
        <v>669</v>
      </c>
      <c r="B193" s="19" t="s">
        <v>304</v>
      </c>
      <c r="C193" s="40" t="s">
        <v>671</v>
      </c>
      <c r="D193" s="19"/>
      <c r="E193" s="3">
        <f t="shared" ref="E193:G193" si="60">E194</f>
        <v>47617.2</v>
      </c>
      <c r="F193" s="3">
        <f t="shared" si="60"/>
        <v>0</v>
      </c>
      <c r="G193" s="3">
        <f t="shared" si="60"/>
        <v>0</v>
      </c>
    </row>
    <row r="194" spans="1:7" ht="31.5" outlineLevel="2" x14ac:dyDescent="0.25">
      <c r="A194" s="18" t="s">
        <v>76</v>
      </c>
      <c r="B194" s="19" t="s">
        <v>304</v>
      </c>
      <c r="C194" s="40" t="s">
        <v>671</v>
      </c>
      <c r="D194" s="19" t="s">
        <v>39</v>
      </c>
      <c r="E194" s="20">
        <v>47617.2</v>
      </c>
      <c r="F194" s="20">
        <v>0</v>
      </c>
      <c r="G194" s="20">
        <v>0</v>
      </c>
    </row>
    <row r="195" spans="1:7" ht="78.75" outlineLevel="2" x14ac:dyDescent="0.25">
      <c r="A195" s="39" t="s">
        <v>672</v>
      </c>
      <c r="B195" s="19" t="s">
        <v>304</v>
      </c>
      <c r="C195" s="40" t="s">
        <v>676</v>
      </c>
      <c r="D195" s="19"/>
      <c r="E195" s="20">
        <f t="shared" ref="E195:G195" si="61">E196</f>
        <v>47295.6</v>
      </c>
      <c r="F195" s="20">
        <f t="shared" si="61"/>
        <v>0</v>
      </c>
      <c r="G195" s="20">
        <f t="shared" si="61"/>
        <v>0</v>
      </c>
    </row>
    <row r="196" spans="1:7" ht="31.5" outlineLevel="2" x14ac:dyDescent="0.25">
      <c r="A196" s="18" t="s">
        <v>76</v>
      </c>
      <c r="B196" s="19" t="s">
        <v>304</v>
      </c>
      <c r="C196" s="40" t="s">
        <v>676</v>
      </c>
      <c r="D196" s="19" t="s">
        <v>39</v>
      </c>
      <c r="E196" s="3">
        <v>47295.6</v>
      </c>
      <c r="F196" s="3">
        <v>0</v>
      </c>
      <c r="G196" s="3">
        <v>0</v>
      </c>
    </row>
    <row r="197" spans="1:7" ht="78.75" outlineLevel="2" x14ac:dyDescent="0.25">
      <c r="A197" s="39" t="s">
        <v>673</v>
      </c>
      <c r="B197" s="19" t="s">
        <v>304</v>
      </c>
      <c r="C197" s="40" t="s">
        <v>677</v>
      </c>
      <c r="D197" s="19"/>
      <c r="E197" s="20">
        <f t="shared" ref="E197:G197" si="62">E198</f>
        <v>45449.899999999994</v>
      </c>
      <c r="F197" s="20">
        <f t="shared" si="62"/>
        <v>0</v>
      </c>
      <c r="G197" s="20">
        <f t="shared" si="62"/>
        <v>0</v>
      </c>
    </row>
    <row r="198" spans="1:7" ht="31.5" outlineLevel="2" x14ac:dyDescent="0.25">
      <c r="A198" s="18" t="s">
        <v>76</v>
      </c>
      <c r="B198" s="19" t="s">
        <v>304</v>
      </c>
      <c r="C198" s="40" t="s">
        <v>677</v>
      </c>
      <c r="D198" s="19" t="s">
        <v>39</v>
      </c>
      <c r="E198" s="20">
        <v>45449.899999999994</v>
      </c>
      <c r="F198" s="20">
        <v>0</v>
      </c>
      <c r="G198" s="20">
        <v>0</v>
      </c>
    </row>
    <row r="199" spans="1:7" ht="78.75" outlineLevel="2" x14ac:dyDescent="0.25">
      <c r="A199" s="39" t="s">
        <v>674</v>
      </c>
      <c r="B199" s="19" t="s">
        <v>304</v>
      </c>
      <c r="C199" s="40" t="s">
        <v>678</v>
      </c>
      <c r="D199" s="19"/>
      <c r="E199" s="3">
        <f t="shared" ref="E199:G199" si="63">E200</f>
        <v>95571.5</v>
      </c>
      <c r="F199" s="3">
        <f t="shared" si="63"/>
        <v>4530.8999999999996</v>
      </c>
      <c r="G199" s="3">
        <f t="shared" si="63"/>
        <v>0</v>
      </c>
    </row>
    <row r="200" spans="1:7" ht="31.5" outlineLevel="2" x14ac:dyDescent="0.25">
      <c r="A200" s="18" t="s">
        <v>76</v>
      </c>
      <c r="B200" s="19" t="s">
        <v>304</v>
      </c>
      <c r="C200" s="40" t="s">
        <v>678</v>
      </c>
      <c r="D200" s="19" t="s">
        <v>39</v>
      </c>
      <c r="E200" s="20">
        <v>95571.5</v>
      </c>
      <c r="F200" s="20">
        <v>4530.8999999999996</v>
      </c>
      <c r="G200" s="20">
        <v>0</v>
      </c>
    </row>
    <row r="201" spans="1:7" ht="78.75" outlineLevel="2" x14ac:dyDescent="0.25">
      <c r="A201" s="39" t="s">
        <v>675</v>
      </c>
      <c r="B201" s="19" t="s">
        <v>304</v>
      </c>
      <c r="C201" s="40" t="s">
        <v>679</v>
      </c>
      <c r="D201" s="19"/>
      <c r="E201" s="20">
        <f t="shared" ref="E201:G201" si="64">E202</f>
        <v>89754.2</v>
      </c>
      <c r="F201" s="20">
        <f t="shared" si="64"/>
        <v>0</v>
      </c>
      <c r="G201" s="20">
        <f t="shared" si="64"/>
        <v>0</v>
      </c>
    </row>
    <row r="202" spans="1:7" ht="31.5" outlineLevel="2" x14ac:dyDescent="0.25">
      <c r="A202" s="18" t="s">
        <v>76</v>
      </c>
      <c r="B202" s="19" t="s">
        <v>304</v>
      </c>
      <c r="C202" s="40" t="s">
        <v>679</v>
      </c>
      <c r="D202" s="19" t="s">
        <v>39</v>
      </c>
      <c r="E202" s="3">
        <v>89754.2</v>
      </c>
      <c r="F202" s="3">
        <v>0</v>
      </c>
      <c r="G202" s="3">
        <v>0</v>
      </c>
    </row>
    <row r="203" spans="1:7" ht="78.75" outlineLevel="2" x14ac:dyDescent="0.25">
      <c r="A203" s="39" t="s">
        <v>680</v>
      </c>
      <c r="B203" s="19" t="s">
        <v>304</v>
      </c>
      <c r="C203" s="40" t="s">
        <v>683</v>
      </c>
      <c r="D203" s="19"/>
      <c r="E203" s="20">
        <f t="shared" ref="E203:G203" si="65">E204</f>
        <v>0</v>
      </c>
      <c r="F203" s="20">
        <f t="shared" si="65"/>
        <v>209908.2</v>
      </c>
      <c r="G203" s="20">
        <f t="shared" si="65"/>
        <v>0</v>
      </c>
    </row>
    <row r="204" spans="1:7" ht="31.5" outlineLevel="2" x14ac:dyDescent="0.25">
      <c r="A204" s="18" t="s">
        <v>76</v>
      </c>
      <c r="B204" s="19" t="s">
        <v>304</v>
      </c>
      <c r="C204" s="40" t="s">
        <v>683</v>
      </c>
      <c r="D204" s="19" t="s">
        <v>39</v>
      </c>
      <c r="E204" s="20">
        <v>0</v>
      </c>
      <c r="F204" s="20">
        <f>206708.2+3200</f>
        <v>209908.2</v>
      </c>
      <c r="G204" s="20">
        <v>0</v>
      </c>
    </row>
    <row r="205" spans="1:7" ht="78.75" outlineLevel="2" x14ac:dyDescent="0.25">
      <c r="A205" s="39" t="s">
        <v>681</v>
      </c>
      <c r="B205" s="19" t="s">
        <v>304</v>
      </c>
      <c r="C205" s="40" t="s">
        <v>684</v>
      </c>
      <c r="D205" s="19"/>
      <c r="E205" s="3">
        <f t="shared" ref="E205:G205" si="66">E206</f>
        <v>0</v>
      </c>
      <c r="F205" s="3">
        <f t="shared" si="66"/>
        <v>39983.800000000003</v>
      </c>
      <c r="G205" s="3">
        <f t="shared" si="66"/>
        <v>0</v>
      </c>
    </row>
    <row r="206" spans="1:7" ht="31.5" outlineLevel="2" x14ac:dyDescent="0.25">
      <c r="A206" s="18" t="s">
        <v>76</v>
      </c>
      <c r="B206" s="19" t="s">
        <v>304</v>
      </c>
      <c r="C206" s="40" t="s">
        <v>684</v>
      </c>
      <c r="D206" s="19" t="s">
        <v>39</v>
      </c>
      <c r="E206" s="20">
        <v>0</v>
      </c>
      <c r="F206" s="20">
        <v>39983.800000000003</v>
      </c>
      <c r="G206" s="20">
        <v>0</v>
      </c>
    </row>
    <row r="207" spans="1:7" ht="78.75" outlineLevel="2" x14ac:dyDescent="0.25">
      <c r="A207" s="39" t="s">
        <v>682</v>
      </c>
      <c r="B207" s="19" t="s">
        <v>304</v>
      </c>
      <c r="C207" s="40" t="s">
        <v>685</v>
      </c>
      <c r="D207" s="19"/>
      <c r="E207" s="20">
        <f t="shared" ref="E207:G207" si="67">E208</f>
        <v>0</v>
      </c>
      <c r="F207" s="20">
        <f t="shared" si="67"/>
        <v>65640.7</v>
      </c>
      <c r="G207" s="20">
        <f t="shared" si="67"/>
        <v>0</v>
      </c>
    </row>
    <row r="208" spans="1:7" ht="31.5" outlineLevel="2" x14ac:dyDescent="0.25">
      <c r="A208" s="18" t="s">
        <v>76</v>
      </c>
      <c r="B208" s="19" t="s">
        <v>304</v>
      </c>
      <c r="C208" s="40" t="s">
        <v>685</v>
      </c>
      <c r="D208" s="19" t="s">
        <v>39</v>
      </c>
      <c r="E208" s="3">
        <v>0</v>
      </c>
      <c r="F208" s="3">
        <v>65640.7</v>
      </c>
      <c r="G208" s="3">
        <v>0</v>
      </c>
    </row>
    <row r="209" spans="1:7" ht="78.75" outlineLevel="2" x14ac:dyDescent="0.25">
      <c r="A209" s="39" t="s">
        <v>686</v>
      </c>
      <c r="B209" s="19" t="s">
        <v>304</v>
      </c>
      <c r="C209" s="40" t="s">
        <v>688</v>
      </c>
      <c r="D209" s="19"/>
      <c r="E209" s="20">
        <f t="shared" ref="E209:G209" si="68">E210</f>
        <v>0</v>
      </c>
      <c r="F209" s="20">
        <f t="shared" si="68"/>
        <v>53185</v>
      </c>
      <c r="G209" s="20">
        <f t="shared" si="68"/>
        <v>0</v>
      </c>
    </row>
    <row r="210" spans="1:7" ht="31.5" outlineLevel="2" x14ac:dyDescent="0.25">
      <c r="A210" s="18" t="s">
        <v>76</v>
      </c>
      <c r="B210" s="19" t="s">
        <v>304</v>
      </c>
      <c r="C210" s="40" t="s">
        <v>688</v>
      </c>
      <c r="D210" s="19" t="s">
        <v>39</v>
      </c>
      <c r="E210" s="20">
        <v>0</v>
      </c>
      <c r="F210" s="20">
        <v>53185</v>
      </c>
      <c r="G210" s="20">
        <v>0</v>
      </c>
    </row>
    <row r="211" spans="1:7" ht="78.75" outlineLevel="2" x14ac:dyDescent="0.25">
      <c r="A211" s="39" t="s">
        <v>687</v>
      </c>
      <c r="B211" s="19" t="s">
        <v>304</v>
      </c>
      <c r="C211" s="40" t="s">
        <v>689</v>
      </c>
      <c r="D211" s="19"/>
      <c r="E211" s="3">
        <f t="shared" ref="E211:G211" si="69">E212</f>
        <v>0</v>
      </c>
      <c r="F211" s="3">
        <f t="shared" si="69"/>
        <v>41210.800000000003</v>
      </c>
      <c r="G211" s="3">
        <f t="shared" si="69"/>
        <v>0</v>
      </c>
    </row>
    <row r="212" spans="1:7" ht="31.5" outlineLevel="2" x14ac:dyDescent="0.25">
      <c r="A212" s="18" t="s">
        <v>76</v>
      </c>
      <c r="B212" s="19" t="s">
        <v>304</v>
      </c>
      <c r="C212" s="40" t="s">
        <v>689</v>
      </c>
      <c r="D212" s="19" t="s">
        <v>39</v>
      </c>
      <c r="E212" s="20">
        <v>0</v>
      </c>
      <c r="F212" s="20">
        <v>41210.800000000003</v>
      </c>
      <c r="G212" s="20">
        <v>0</v>
      </c>
    </row>
    <row r="213" spans="1:7" ht="78.75" outlineLevel="2" x14ac:dyDescent="0.25">
      <c r="A213" s="39" t="s">
        <v>690</v>
      </c>
      <c r="B213" s="19" t="s">
        <v>304</v>
      </c>
      <c r="C213" s="40" t="s">
        <v>691</v>
      </c>
      <c r="D213" s="19"/>
      <c r="E213" s="20">
        <f>+E214</f>
        <v>5983.6</v>
      </c>
      <c r="F213" s="20">
        <f t="shared" ref="F213:G213" si="70">+F214</f>
        <v>54758.7</v>
      </c>
      <c r="G213" s="20">
        <f t="shared" si="70"/>
        <v>0</v>
      </c>
    </row>
    <row r="214" spans="1:7" ht="31.5" outlineLevel="2" x14ac:dyDescent="0.25">
      <c r="A214" s="18" t="s">
        <v>76</v>
      </c>
      <c r="B214" s="19" t="s">
        <v>304</v>
      </c>
      <c r="C214" s="40" t="s">
        <v>691</v>
      </c>
      <c r="D214" s="19" t="s">
        <v>39</v>
      </c>
      <c r="E214" s="20">
        <v>5983.6</v>
      </c>
      <c r="F214" s="20">
        <v>54758.7</v>
      </c>
      <c r="G214" s="20">
        <v>0</v>
      </c>
    </row>
    <row r="215" spans="1:7" ht="94.5" outlineLevel="2" x14ac:dyDescent="0.25">
      <c r="A215" s="18" t="s">
        <v>780</v>
      </c>
      <c r="B215" s="19" t="s">
        <v>304</v>
      </c>
      <c r="C215" s="40" t="s">
        <v>751</v>
      </c>
      <c r="D215" s="19"/>
      <c r="E215" s="20">
        <f>+E216</f>
        <v>282318.7</v>
      </c>
      <c r="F215" s="20">
        <f>+F216</f>
        <v>228418.7</v>
      </c>
      <c r="G215" s="20">
        <f>+G216</f>
        <v>5</v>
      </c>
    </row>
    <row r="216" spans="1:7" ht="47.25" outlineLevel="2" x14ac:dyDescent="0.25">
      <c r="A216" s="23" t="s">
        <v>310</v>
      </c>
      <c r="B216" s="19" t="s">
        <v>304</v>
      </c>
      <c r="C216" s="40" t="s">
        <v>751</v>
      </c>
      <c r="D216" s="19" t="s">
        <v>464</v>
      </c>
      <c r="E216" s="20">
        <v>282318.7</v>
      </c>
      <c r="F216" s="20">
        <v>228418.7</v>
      </c>
      <c r="G216" s="20">
        <v>5</v>
      </c>
    </row>
    <row r="217" spans="1:7" ht="78.75" outlineLevel="2" x14ac:dyDescent="0.25">
      <c r="A217" s="23" t="s">
        <v>851</v>
      </c>
      <c r="B217" s="19" t="s">
        <v>304</v>
      </c>
      <c r="C217" s="40" t="s">
        <v>854</v>
      </c>
      <c r="D217" s="19"/>
      <c r="E217" s="20">
        <f>+E218</f>
        <v>0</v>
      </c>
      <c r="F217" s="20">
        <f>+F218</f>
        <v>107700</v>
      </c>
      <c r="G217" s="20">
        <f>+G218</f>
        <v>0</v>
      </c>
    </row>
    <row r="218" spans="1:7" ht="31.5" outlineLevel="2" x14ac:dyDescent="0.25">
      <c r="A218" s="23" t="s">
        <v>76</v>
      </c>
      <c r="B218" s="19" t="s">
        <v>304</v>
      </c>
      <c r="C218" s="40" t="s">
        <v>854</v>
      </c>
      <c r="D218" s="19" t="s">
        <v>39</v>
      </c>
      <c r="E218" s="20"/>
      <c r="F218" s="20">
        <v>107700</v>
      </c>
      <c r="G218" s="20"/>
    </row>
    <row r="219" spans="1:7" ht="78.75" outlineLevel="2" x14ac:dyDescent="0.25">
      <c r="A219" s="23" t="s">
        <v>852</v>
      </c>
      <c r="B219" s="19" t="s">
        <v>304</v>
      </c>
      <c r="C219" s="40" t="s">
        <v>855</v>
      </c>
      <c r="D219" s="19"/>
      <c r="E219" s="20">
        <f>+E220</f>
        <v>0</v>
      </c>
      <c r="F219" s="20">
        <f>+F220</f>
        <v>244300</v>
      </c>
      <c r="G219" s="20">
        <f>+G220</f>
        <v>0</v>
      </c>
    </row>
    <row r="220" spans="1:7" ht="31.5" outlineLevel="2" x14ac:dyDescent="0.25">
      <c r="A220" s="23" t="s">
        <v>76</v>
      </c>
      <c r="B220" s="19" t="s">
        <v>304</v>
      </c>
      <c r="C220" s="40" t="s">
        <v>855</v>
      </c>
      <c r="D220" s="19" t="s">
        <v>39</v>
      </c>
      <c r="E220" s="20">
        <v>0</v>
      </c>
      <c r="F220" s="20">
        <v>244300</v>
      </c>
      <c r="G220" s="20">
        <v>0</v>
      </c>
    </row>
    <row r="221" spans="1:7" ht="78.75" outlineLevel="2" x14ac:dyDescent="0.25">
      <c r="A221" s="18" t="s">
        <v>853</v>
      </c>
      <c r="B221" s="19" t="s">
        <v>304</v>
      </c>
      <c r="C221" s="40" t="s">
        <v>856</v>
      </c>
      <c r="D221" s="19"/>
      <c r="E221" s="20">
        <f>+E222</f>
        <v>0</v>
      </c>
      <c r="F221" s="20">
        <f>+F222</f>
        <v>35000</v>
      </c>
      <c r="G221" s="20">
        <f>+G222</f>
        <v>0</v>
      </c>
    </row>
    <row r="222" spans="1:7" ht="31.5" outlineLevel="2" x14ac:dyDescent="0.25">
      <c r="A222" s="18" t="s">
        <v>76</v>
      </c>
      <c r="B222" s="19" t="s">
        <v>304</v>
      </c>
      <c r="C222" s="40" t="s">
        <v>856</v>
      </c>
      <c r="D222" s="19" t="s">
        <v>39</v>
      </c>
      <c r="E222" s="20">
        <v>0</v>
      </c>
      <c r="F222" s="20">
        <v>35000</v>
      </c>
      <c r="G222" s="20">
        <v>0</v>
      </c>
    </row>
    <row r="223" spans="1:7" ht="63" outlineLevel="2" x14ac:dyDescent="0.25">
      <c r="A223" s="18" t="s">
        <v>634</v>
      </c>
      <c r="B223" s="19" t="s">
        <v>304</v>
      </c>
      <c r="C223" s="19" t="s">
        <v>574</v>
      </c>
      <c r="D223" s="19"/>
      <c r="E223" s="3">
        <f>E224</f>
        <v>13850</v>
      </c>
      <c r="F223" s="3">
        <f t="shared" ref="F223:G223" si="71">F224</f>
        <v>13497.3</v>
      </c>
      <c r="G223" s="3">
        <f t="shared" si="71"/>
        <v>0</v>
      </c>
    </row>
    <row r="224" spans="1:7" ht="31.5" outlineLevel="2" x14ac:dyDescent="0.25">
      <c r="A224" s="18" t="s">
        <v>76</v>
      </c>
      <c r="B224" s="19" t="s">
        <v>304</v>
      </c>
      <c r="C224" s="19" t="s">
        <v>574</v>
      </c>
      <c r="D224" s="19" t="s">
        <v>39</v>
      </c>
      <c r="E224" s="20">
        <v>13850</v>
      </c>
      <c r="F224" s="20">
        <v>13497.3</v>
      </c>
      <c r="G224" s="20">
        <v>0</v>
      </c>
    </row>
    <row r="225" spans="1:7" ht="78.75" outlineLevel="2" x14ac:dyDescent="0.25">
      <c r="A225" s="18" t="s">
        <v>857</v>
      </c>
      <c r="B225" s="19" t="s">
        <v>304</v>
      </c>
      <c r="C225" s="19" t="s">
        <v>862</v>
      </c>
      <c r="D225" s="19"/>
      <c r="E225" s="3">
        <f t="shared" ref="E225:G233" si="72">E226</f>
        <v>0</v>
      </c>
      <c r="F225" s="3">
        <f t="shared" si="72"/>
        <v>182788.8</v>
      </c>
      <c r="G225" s="3">
        <f t="shared" si="72"/>
        <v>0</v>
      </c>
    </row>
    <row r="226" spans="1:7" ht="31.5" outlineLevel="2" x14ac:dyDescent="0.25">
      <c r="A226" s="18" t="s">
        <v>76</v>
      </c>
      <c r="B226" s="19" t="s">
        <v>304</v>
      </c>
      <c r="C226" s="19" t="s">
        <v>862</v>
      </c>
      <c r="D226" s="19" t="s">
        <v>39</v>
      </c>
      <c r="E226" s="20">
        <v>0</v>
      </c>
      <c r="F226" s="3">
        <v>182788.8</v>
      </c>
      <c r="G226" s="20">
        <v>0</v>
      </c>
    </row>
    <row r="227" spans="1:7" ht="78.75" outlineLevel="2" x14ac:dyDescent="0.25">
      <c r="A227" s="18" t="s">
        <v>858</v>
      </c>
      <c r="B227" s="19" t="s">
        <v>304</v>
      </c>
      <c r="C227" s="19" t="s">
        <v>863</v>
      </c>
      <c r="D227" s="19"/>
      <c r="E227" s="3">
        <f t="shared" si="72"/>
        <v>0</v>
      </c>
      <c r="F227" s="3">
        <f t="shared" ref="F227" si="73">F228</f>
        <v>148300</v>
      </c>
      <c r="G227" s="3">
        <f t="shared" si="72"/>
        <v>0</v>
      </c>
    </row>
    <row r="228" spans="1:7" ht="31.5" outlineLevel="2" x14ac:dyDescent="0.25">
      <c r="A228" s="18" t="s">
        <v>76</v>
      </c>
      <c r="B228" s="19" t="s">
        <v>304</v>
      </c>
      <c r="C228" s="19" t="s">
        <v>863</v>
      </c>
      <c r="D228" s="19" t="s">
        <v>39</v>
      </c>
      <c r="E228" s="20">
        <v>0</v>
      </c>
      <c r="F228" s="3">
        <v>148300</v>
      </c>
      <c r="G228" s="20">
        <v>0</v>
      </c>
    </row>
    <row r="229" spans="1:7" ht="78.75" outlineLevel="2" x14ac:dyDescent="0.25">
      <c r="A229" s="18" t="s">
        <v>859</v>
      </c>
      <c r="B229" s="19" t="s">
        <v>304</v>
      </c>
      <c r="C229" s="19" t="s">
        <v>864</v>
      </c>
      <c r="D229" s="19"/>
      <c r="E229" s="3">
        <f t="shared" si="72"/>
        <v>0</v>
      </c>
      <c r="F229" s="3">
        <f t="shared" ref="F229" si="74">F230</f>
        <v>169200</v>
      </c>
      <c r="G229" s="3">
        <f t="shared" si="72"/>
        <v>0</v>
      </c>
    </row>
    <row r="230" spans="1:7" ht="31.5" outlineLevel="2" x14ac:dyDescent="0.25">
      <c r="A230" s="18" t="s">
        <v>76</v>
      </c>
      <c r="B230" s="19" t="s">
        <v>304</v>
      </c>
      <c r="C230" s="19" t="s">
        <v>864</v>
      </c>
      <c r="D230" s="19" t="s">
        <v>39</v>
      </c>
      <c r="E230" s="20">
        <v>0</v>
      </c>
      <c r="F230" s="3">
        <v>169200</v>
      </c>
      <c r="G230" s="20">
        <v>0</v>
      </c>
    </row>
    <row r="231" spans="1:7" ht="78.75" outlineLevel="2" x14ac:dyDescent="0.25">
      <c r="A231" s="18" t="s">
        <v>860</v>
      </c>
      <c r="B231" s="19" t="s">
        <v>304</v>
      </c>
      <c r="C231" s="19" t="s">
        <v>865</v>
      </c>
      <c r="D231" s="19"/>
      <c r="E231" s="3">
        <f t="shared" si="72"/>
        <v>0</v>
      </c>
      <c r="F231" s="3">
        <f t="shared" ref="F231" si="75">F232</f>
        <v>42400</v>
      </c>
      <c r="G231" s="3">
        <f t="shared" si="72"/>
        <v>0</v>
      </c>
    </row>
    <row r="232" spans="1:7" ht="31.5" outlineLevel="2" x14ac:dyDescent="0.25">
      <c r="A232" s="18" t="s">
        <v>76</v>
      </c>
      <c r="B232" s="19" t="s">
        <v>304</v>
      </c>
      <c r="C232" s="19" t="s">
        <v>865</v>
      </c>
      <c r="D232" s="19" t="s">
        <v>39</v>
      </c>
      <c r="E232" s="20">
        <v>0</v>
      </c>
      <c r="F232" s="3">
        <v>42400</v>
      </c>
      <c r="G232" s="20">
        <v>0</v>
      </c>
    </row>
    <row r="233" spans="1:7" ht="78.75" outlineLevel="2" x14ac:dyDescent="0.25">
      <c r="A233" s="18" t="s">
        <v>861</v>
      </c>
      <c r="B233" s="19" t="s">
        <v>304</v>
      </c>
      <c r="C233" s="19" t="s">
        <v>866</v>
      </c>
      <c r="D233" s="19"/>
      <c r="E233" s="3">
        <f t="shared" si="72"/>
        <v>0</v>
      </c>
      <c r="F233" s="3">
        <f t="shared" ref="F233" si="76">F234</f>
        <v>170400</v>
      </c>
      <c r="G233" s="3">
        <f t="shared" si="72"/>
        <v>0</v>
      </c>
    </row>
    <row r="234" spans="1:7" ht="31.5" outlineLevel="2" x14ac:dyDescent="0.25">
      <c r="A234" s="18" t="s">
        <v>76</v>
      </c>
      <c r="B234" s="19" t="s">
        <v>304</v>
      </c>
      <c r="C234" s="19" t="s">
        <v>866</v>
      </c>
      <c r="D234" s="19" t="s">
        <v>39</v>
      </c>
      <c r="E234" s="20">
        <v>0</v>
      </c>
      <c r="F234" s="3">
        <v>170400</v>
      </c>
      <c r="G234" s="20">
        <v>0</v>
      </c>
    </row>
    <row r="235" spans="1:7" ht="31.5" outlineLevel="2" x14ac:dyDescent="0.25">
      <c r="A235" s="18" t="s">
        <v>155</v>
      </c>
      <c r="B235" s="24" t="s">
        <v>304</v>
      </c>
      <c r="C235" s="24" t="s">
        <v>306</v>
      </c>
      <c r="D235" s="25"/>
      <c r="E235" s="20">
        <f>E236</f>
        <v>569313.09999999986</v>
      </c>
      <c r="F235" s="20">
        <f t="shared" ref="F235:G235" si="77">F236</f>
        <v>183672.3</v>
      </c>
      <c r="G235" s="20">
        <f t="shared" si="77"/>
        <v>178252.30000000005</v>
      </c>
    </row>
    <row r="236" spans="1:7" ht="47.25" outlineLevel="2" x14ac:dyDescent="0.25">
      <c r="A236" s="18" t="s">
        <v>307</v>
      </c>
      <c r="B236" s="24" t="s">
        <v>304</v>
      </c>
      <c r="C236" s="24" t="s">
        <v>308</v>
      </c>
      <c r="D236" s="25"/>
      <c r="E236" s="3">
        <f>E237+E239+E259+E261+E264+E271+E251+E241+E256+E253+E243+E247+E266+E249+E269</f>
        <v>569313.09999999986</v>
      </c>
      <c r="F236" s="3">
        <f>F237+F239+F259+F261+F264+F271+F251+F241+F256+F253+F243+F247+F266+F249+F269+F245</f>
        <v>183672.3</v>
      </c>
      <c r="G236" s="3">
        <f t="shared" ref="G236" si="78">G237+G239+G259+G261+G264+G271+G251+G241+G256+G253+G243+G247+G266+G249+G269</f>
        <v>178252.30000000005</v>
      </c>
    </row>
    <row r="237" spans="1:7" ht="63" outlineLevel="2" x14ac:dyDescent="0.25">
      <c r="A237" s="23" t="s">
        <v>502</v>
      </c>
      <c r="B237" s="24" t="s">
        <v>304</v>
      </c>
      <c r="C237" s="24" t="s">
        <v>309</v>
      </c>
      <c r="D237" s="25"/>
      <c r="E237" s="20">
        <f>E238</f>
        <v>228.3</v>
      </c>
      <c r="F237" s="20">
        <f t="shared" ref="F237:G237" si="79">F238</f>
        <v>0</v>
      </c>
      <c r="G237" s="20">
        <f t="shared" si="79"/>
        <v>0</v>
      </c>
    </row>
    <row r="238" spans="1:7" ht="47.25" outlineLevel="2" x14ac:dyDescent="0.25">
      <c r="A238" s="38" t="s">
        <v>310</v>
      </c>
      <c r="B238" s="24" t="s">
        <v>304</v>
      </c>
      <c r="C238" s="24" t="s">
        <v>309</v>
      </c>
      <c r="D238" s="25">
        <v>400</v>
      </c>
      <c r="E238" s="20">
        <v>228.3</v>
      </c>
      <c r="F238" s="20">
        <v>0</v>
      </c>
      <c r="G238" s="20">
        <v>0</v>
      </c>
    </row>
    <row r="239" spans="1:7" ht="110.25" outlineLevel="2" x14ac:dyDescent="0.25">
      <c r="A239" s="38" t="s">
        <v>493</v>
      </c>
      <c r="B239" s="24" t="s">
        <v>304</v>
      </c>
      <c r="C239" s="24" t="s">
        <v>311</v>
      </c>
      <c r="D239" s="25"/>
      <c r="E239" s="3">
        <f>E240</f>
        <v>14514.6</v>
      </c>
      <c r="F239" s="3">
        <f t="shared" ref="F239:G239" si="80">F240</f>
        <v>0</v>
      </c>
      <c r="G239" s="3">
        <f t="shared" si="80"/>
        <v>0</v>
      </c>
    </row>
    <row r="240" spans="1:7" ht="47.25" outlineLevel="2" x14ac:dyDescent="0.25">
      <c r="A240" s="38" t="s">
        <v>310</v>
      </c>
      <c r="B240" s="24" t="s">
        <v>304</v>
      </c>
      <c r="C240" s="24" t="s">
        <v>311</v>
      </c>
      <c r="D240" s="25">
        <v>400</v>
      </c>
      <c r="E240" s="20">
        <v>14514.6</v>
      </c>
      <c r="F240" s="20">
        <v>0</v>
      </c>
      <c r="G240" s="20">
        <v>0</v>
      </c>
    </row>
    <row r="241" spans="1:8" ht="47.25" outlineLevel="2" x14ac:dyDescent="0.25">
      <c r="A241" s="23" t="s">
        <v>514</v>
      </c>
      <c r="B241" s="19" t="s">
        <v>304</v>
      </c>
      <c r="C241" s="19" t="s">
        <v>515</v>
      </c>
      <c r="D241" s="19"/>
      <c r="E241" s="20">
        <f>E242</f>
        <v>593.29999999999995</v>
      </c>
      <c r="F241" s="20">
        <f t="shared" ref="F241:G241" si="81">F242</f>
        <v>0</v>
      </c>
      <c r="G241" s="20">
        <f t="shared" si="81"/>
        <v>0</v>
      </c>
    </row>
    <row r="242" spans="1:8" ht="31.5" outlineLevel="2" x14ac:dyDescent="0.25">
      <c r="A242" s="21" t="s">
        <v>76</v>
      </c>
      <c r="B242" s="19" t="s">
        <v>304</v>
      </c>
      <c r="C242" s="19" t="s">
        <v>515</v>
      </c>
      <c r="D242" s="19" t="s">
        <v>39</v>
      </c>
      <c r="E242" s="3">
        <v>593.29999999999995</v>
      </c>
      <c r="F242" s="3">
        <v>0</v>
      </c>
      <c r="G242" s="3">
        <v>0</v>
      </c>
    </row>
    <row r="243" spans="1:8" ht="119.25" customHeight="1" outlineLevel="2" x14ac:dyDescent="0.25">
      <c r="A243" s="21" t="s">
        <v>652</v>
      </c>
      <c r="B243" s="19" t="s">
        <v>304</v>
      </c>
      <c r="C243" s="41" t="s">
        <v>653</v>
      </c>
      <c r="D243" s="21"/>
      <c r="E243" s="20">
        <f>+E244</f>
        <v>3587.6000000000004</v>
      </c>
      <c r="F243" s="20">
        <f t="shared" ref="F243:G243" si="82">+F244</f>
        <v>8371</v>
      </c>
      <c r="G243" s="20">
        <f t="shared" si="82"/>
        <v>0</v>
      </c>
    </row>
    <row r="244" spans="1:8" ht="42.75" customHeight="1" outlineLevel="2" x14ac:dyDescent="0.25">
      <c r="A244" s="21" t="s">
        <v>310</v>
      </c>
      <c r="B244" s="19" t="s">
        <v>304</v>
      </c>
      <c r="C244" s="41" t="s">
        <v>653</v>
      </c>
      <c r="D244" s="21">
        <v>400</v>
      </c>
      <c r="E244" s="20">
        <v>3587.6000000000004</v>
      </c>
      <c r="F244" s="20">
        <v>8371</v>
      </c>
      <c r="G244" s="20">
        <v>0</v>
      </c>
    </row>
    <row r="245" spans="1:8" ht="42.75" customHeight="1" outlineLevel="2" x14ac:dyDescent="0.25">
      <c r="A245" s="21" t="s">
        <v>773</v>
      </c>
      <c r="B245" s="19" t="s">
        <v>304</v>
      </c>
      <c r="C245" s="19" t="s">
        <v>774</v>
      </c>
      <c r="D245" s="19"/>
      <c r="E245" s="20">
        <f>+E246</f>
        <v>0</v>
      </c>
      <c r="F245" s="20">
        <f>+F246</f>
        <v>3052.4</v>
      </c>
      <c r="G245" s="20">
        <f>+G246</f>
        <v>0</v>
      </c>
      <c r="H245" s="20"/>
    </row>
    <row r="246" spans="1:8" ht="42.75" customHeight="1" outlineLevel="2" x14ac:dyDescent="0.25">
      <c r="A246" s="21" t="s">
        <v>76</v>
      </c>
      <c r="B246" s="19" t="s">
        <v>304</v>
      </c>
      <c r="C246" s="19" t="s">
        <v>774</v>
      </c>
      <c r="D246" s="19" t="s">
        <v>39</v>
      </c>
      <c r="E246" s="20">
        <v>0</v>
      </c>
      <c r="F246" s="20">
        <v>3052.4</v>
      </c>
      <c r="G246" s="20">
        <v>0</v>
      </c>
    </row>
    <row r="247" spans="1:8" ht="62.25" customHeight="1" outlineLevel="2" x14ac:dyDescent="0.25">
      <c r="A247" s="21" t="s">
        <v>778</v>
      </c>
      <c r="B247" s="19" t="s">
        <v>304</v>
      </c>
      <c r="C247" s="19" t="s">
        <v>746</v>
      </c>
      <c r="D247" s="19"/>
      <c r="E247" s="20">
        <f>+E248</f>
        <v>979.1</v>
      </c>
      <c r="F247" s="20">
        <f>+F248</f>
        <v>0</v>
      </c>
      <c r="G247" s="20">
        <f>+G248</f>
        <v>0</v>
      </c>
    </row>
    <row r="248" spans="1:8" ht="42.75" customHeight="1" outlineLevel="2" x14ac:dyDescent="0.25">
      <c r="A248" s="21" t="s">
        <v>76</v>
      </c>
      <c r="B248" s="19" t="s">
        <v>304</v>
      </c>
      <c r="C248" s="19" t="s">
        <v>746</v>
      </c>
      <c r="D248" s="19" t="s">
        <v>39</v>
      </c>
      <c r="E248" s="20">
        <v>979.1</v>
      </c>
      <c r="F248" s="20">
        <v>0</v>
      </c>
      <c r="G248" s="20">
        <v>0</v>
      </c>
    </row>
    <row r="249" spans="1:8" ht="42.75" customHeight="1" outlineLevel="2" x14ac:dyDescent="0.25">
      <c r="A249" s="21" t="s">
        <v>781</v>
      </c>
      <c r="B249" s="19" t="s">
        <v>304</v>
      </c>
      <c r="C249" s="19" t="s">
        <v>782</v>
      </c>
      <c r="D249" s="19"/>
      <c r="E249" s="20">
        <f>+E250</f>
        <v>1535</v>
      </c>
      <c r="F249" s="20">
        <f t="shared" ref="F249:G249" si="83">+F250</f>
        <v>0</v>
      </c>
      <c r="G249" s="20">
        <f t="shared" si="83"/>
        <v>0</v>
      </c>
    </row>
    <row r="250" spans="1:8" ht="42.75" customHeight="1" outlineLevel="2" x14ac:dyDescent="0.25">
      <c r="A250" s="21" t="s">
        <v>76</v>
      </c>
      <c r="B250" s="19" t="s">
        <v>304</v>
      </c>
      <c r="C250" s="19" t="s">
        <v>782</v>
      </c>
      <c r="D250" s="19" t="s">
        <v>39</v>
      </c>
      <c r="E250" s="20">
        <v>1535</v>
      </c>
      <c r="F250" s="20">
        <v>0</v>
      </c>
      <c r="G250" s="20">
        <v>0</v>
      </c>
    </row>
    <row r="251" spans="1:8" ht="78.75" outlineLevel="2" x14ac:dyDescent="0.25">
      <c r="A251" s="42" t="s">
        <v>472</v>
      </c>
      <c r="B251" s="24" t="s">
        <v>304</v>
      </c>
      <c r="C251" s="24" t="s">
        <v>473</v>
      </c>
      <c r="D251" s="25"/>
      <c r="E251" s="3">
        <f>E252</f>
        <v>2570</v>
      </c>
      <c r="F251" s="3">
        <f>F252</f>
        <v>0</v>
      </c>
      <c r="G251" s="3">
        <f>G252</f>
        <v>0</v>
      </c>
    </row>
    <row r="252" spans="1:8" ht="31.5" outlineLevel="2" x14ac:dyDescent="0.25">
      <c r="A252" s="21" t="s">
        <v>76</v>
      </c>
      <c r="B252" s="24" t="s">
        <v>304</v>
      </c>
      <c r="C252" s="24" t="s">
        <v>473</v>
      </c>
      <c r="D252" s="25">
        <v>200</v>
      </c>
      <c r="E252" s="20">
        <f>2320+250</f>
        <v>2570</v>
      </c>
      <c r="F252" s="20">
        <v>0</v>
      </c>
      <c r="G252" s="20">
        <v>0</v>
      </c>
    </row>
    <row r="253" spans="1:8" ht="63" outlineLevel="2" x14ac:dyDescent="0.25">
      <c r="A253" s="42" t="s">
        <v>527</v>
      </c>
      <c r="B253" s="19" t="s">
        <v>304</v>
      </c>
      <c r="C253" s="19" t="s">
        <v>528</v>
      </c>
      <c r="D253" s="19"/>
      <c r="E253" s="20">
        <f>SUM(E254:E255)</f>
        <v>827</v>
      </c>
      <c r="F253" s="20">
        <f t="shared" ref="F253:G253" si="84">SUM(F254:F255)</f>
        <v>0</v>
      </c>
      <c r="G253" s="20">
        <f t="shared" si="84"/>
        <v>0</v>
      </c>
    </row>
    <row r="254" spans="1:8" ht="47.25" outlineLevel="2" x14ac:dyDescent="0.25">
      <c r="A254" s="9" t="s">
        <v>310</v>
      </c>
      <c r="B254" s="19" t="s">
        <v>304</v>
      </c>
      <c r="C254" s="19" t="s">
        <v>528</v>
      </c>
      <c r="D254" s="19" t="s">
        <v>464</v>
      </c>
      <c r="E254" s="3">
        <v>825</v>
      </c>
      <c r="F254" s="3">
        <v>0</v>
      </c>
      <c r="G254" s="3">
        <v>0</v>
      </c>
    </row>
    <row r="255" spans="1:8" outlineLevel="2" x14ac:dyDescent="0.25">
      <c r="A255" s="30" t="s">
        <v>33</v>
      </c>
      <c r="B255" s="19" t="s">
        <v>304</v>
      </c>
      <c r="C255" s="19" t="s">
        <v>528</v>
      </c>
      <c r="D255" s="19" t="s">
        <v>529</v>
      </c>
      <c r="E255" s="20">
        <v>2</v>
      </c>
      <c r="F255" s="20">
        <v>0</v>
      </c>
      <c r="G255" s="20">
        <v>0</v>
      </c>
    </row>
    <row r="256" spans="1:8" ht="47.25" outlineLevel="2" x14ac:dyDescent="0.25">
      <c r="A256" s="21" t="s">
        <v>524</v>
      </c>
      <c r="B256" s="19" t="s">
        <v>304</v>
      </c>
      <c r="C256" s="19" t="s">
        <v>525</v>
      </c>
      <c r="D256" s="19"/>
      <c r="E256" s="20">
        <f>SUM(E257:E258)</f>
        <v>137314.29999999999</v>
      </c>
      <c r="F256" s="20">
        <f>SUM(F257:F258)</f>
        <v>0</v>
      </c>
      <c r="G256" s="20">
        <f t="shared" ref="G256" si="85">G257</f>
        <v>0</v>
      </c>
    </row>
    <row r="257" spans="1:7" ht="31.5" outlineLevel="2" x14ac:dyDescent="0.25">
      <c r="A257" s="21" t="s">
        <v>76</v>
      </c>
      <c r="B257" s="19" t="s">
        <v>304</v>
      </c>
      <c r="C257" s="19" t="s">
        <v>525</v>
      </c>
      <c r="D257" s="19" t="s">
        <v>39</v>
      </c>
      <c r="E257" s="3">
        <v>37414.300000000003</v>
      </c>
      <c r="F257" s="3">
        <v>0</v>
      </c>
      <c r="G257" s="3">
        <v>0</v>
      </c>
    </row>
    <row r="258" spans="1:7" ht="47.25" outlineLevel="2" x14ac:dyDescent="0.25">
      <c r="A258" s="21" t="s">
        <v>94</v>
      </c>
      <c r="B258" s="19" t="s">
        <v>304</v>
      </c>
      <c r="C258" s="19" t="s">
        <v>525</v>
      </c>
      <c r="D258" s="19" t="s">
        <v>95</v>
      </c>
      <c r="E258" s="20">
        <v>99900</v>
      </c>
      <c r="F258" s="20">
        <v>0</v>
      </c>
      <c r="G258" s="20">
        <v>0</v>
      </c>
    </row>
    <row r="259" spans="1:7" ht="63" outlineLevel="2" x14ac:dyDescent="0.25">
      <c r="A259" s="38" t="s">
        <v>312</v>
      </c>
      <c r="B259" s="24" t="s">
        <v>304</v>
      </c>
      <c r="C259" s="24" t="s">
        <v>313</v>
      </c>
      <c r="D259" s="25"/>
      <c r="E259" s="20">
        <f>E260</f>
        <v>48968.299999999996</v>
      </c>
      <c r="F259" s="20">
        <f t="shared" ref="F259:G259" si="86">F260</f>
        <v>67922.099999999991</v>
      </c>
      <c r="G259" s="20">
        <f t="shared" si="86"/>
        <v>6275.1999999999971</v>
      </c>
    </row>
    <row r="260" spans="1:7" ht="47.25" outlineLevel="2" x14ac:dyDescent="0.25">
      <c r="A260" s="38" t="s">
        <v>310</v>
      </c>
      <c r="B260" s="24" t="s">
        <v>304</v>
      </c>
      <c r="C260" s="24" t="s">
        <v>313</v>
      </c>
      <c r="D260" s="25">
        <v>400</v>
      </c>
      <c r="E260" s="3">
        <f>48966.2+2.1</f>
        <v>48968.299999999996</v>
      </c>
      <c r="F260" s="3">
        <f>110090-2530.1-39637.8</f>
        <v>67922.099999999991</v>
      </c>
      <c r="G260" s="3">
        <f>69090.7-62815.5</f>
        <v>6275.1999999999971</v>
      </c>
    </row>
    <row r="261" spans="1:7" ht="94.5" outlineLevel="2" x14ac:dyDescent="0.25">
      <c r="A261" s="38" t="s">
        <v>314</v>
      </c>
      <c r="B261" s="24" t="s">
        <v>304</v>
      </c>
      <c r="C261" s="24" t="s">
        <v>315</v>
      </c>
      <c r="D261" s="25"/>
      <c r="E261" s="20">
        <f>SUM(E262:E263)</f>
        <v>200766.70000000004</v>
      </c>
      <c r="F261" s="20">
        <f t="shared" ref="F261:G261" si="87">SUM(F262:F263)</f>
        <v>47403.199999999997</v>
      </c>
      <c r="G261" s="20">
        <f t="shared" si="87"/>
        <v>149927.20000000001</v>
      </c>
    </row>
    <row r="262" spans="1:7" ht="31.5" outlineLevel="2" x14ac:dyDescent="0.25">
      <c r="A262" s="21" t="s">
        <v>76</v>
      </c>
      <c r="B262" s="24" t="s">
        <v>304</v>
      </c>
      <c r="C262" s="24" t="s">
        <v>315</v>
      </c>
      <c r="D262" s="25">
        <v>200</v>
      </c>
      <c r="E262" s="20">
        <f>90217.8+5894+6898.8+50244.8+3207.1</f>
        <v>156462.50000000003</v>
      </c>
      <c r="F262" s="20">
        <f>24385.1+1381.1+21637</f>
        <v>47403.199999999997</v>
      </c>
      <c r="G262" s="20">
        <f>105676.4+44250.8</f>
        <v>149927.20000000001</v>
      </c>
    </row>
    <row r="263" spans="1:7" ht="47.25" outlineLevel="2" x14ac:dyDescent="0.25">
      <c r="A263" s="23" t="s">
        <v>310</v>
      </c>
      <c r="B263" s="19" t="s">
        <v>304</v>
      </c>
      <c r="C263" s="19" t="s">
        <v>315</v>
      </c>
      <c r="D263" s="19" t="s">
        <v>464</v>
      </c>
      <c r="E263" s="3">
        <v>44304.200000000004</v>
      </c>
      <c r="F263" s="3">
        <f>28384.3-1703.1-26681.2</f>
        <v>0</v>
      </c>
      <c r="G263" s="3">
        <v>0</v>
      </c>
    </row>
    <row r="264" spans="1:7" ht="126" outlineLevel="2" x14ac:dyDescent="0.25">
      <c r="A264" s="38" t="s">
        <v>316</v>
      </c>
      <c r="B264" s="24" t="s">
        <v>304</v>
      </c>
      <c r="C264" s="24" t="s">
        <v>317</v>
      </c>
      <c r="D264" s="25"/>
      <c r="E264" s="20">
        <f>E265</f>
        <v>75692.600000000006</v>
      </c>
      <c r="F264" s="20">
        <f t="shared" ref="F264:G264" si="88">F265</f>
        <v>47534.1</v>
      </c>
      <c r="G264" s="20">
        <f t="shared" si="88"/>
        <v>18564.7</v>
      </c>
    </row>
    <row r="265" spans="1:7" ht="31.5" outlineLevel="2" x14ac:dyDescent="0.25">
      <c r="A265" s="21" t="s">
        <v>76</v>
      </c>
      <c r="B265" s="24" t="s">
        <v>304</v>
      </c>
      <c r="C265" s="24" t="s">
        <v>317</v>
      </c>
      <c r="D265" s="25">
        <v>200</v>
      </c>
      <c r="E265" s="20">
        <f>52451.5+21846.6+1394.5</f>
        <v>75692.600000000006</v>
      </c>
      <c r="F265" s="20">
        <f>2852.1+44682</f>
        <v>47534.1</v>
      </c>
      <c r="G265" s="20">
        <f>18564.7</f>
        <v>18564.7</v>
      </c>
    </row>
    <row r="266" spans="1:7" ht="78.75" outlineLevel="2" x14ac:dyDescent="0.25">
      <c r="A266" s="21" t="s">
        <v>747</v>
      </c>
      <c r="B266" s="24" t="s">
        <v>304</v>
      </c>
      <c r="C266" s="24" t="s">
        <v>748</v>
      </c>
      <c r="D266" s="43"/>
      <c r="E266" s="20">
        <f>+E267+E268</f>
        <v>76257</v>
      </c>
      <c r="F266" s="20">
        <f>+F267+F268</f>
        <v>0</v>
      </c>
      <c r="G266" s="20">
        <f>+G267+G268</f>
        <v>0</v>
      </c>
    </row>
    <row r="267" spans="1:7" ht="31.5" outlineLevel="2" x14ac:dyDescent="0.25">
      <c r="A267" s="18" t="s">
        <v>76</v>
      </c>
      <c r="B267" s="24" t="s">
        <v>304</v>
      </c>
      <c r="C267" s="24" t="s">
        <v>748</v>
      </c>
      <c r="D267" s="24" t="s">
        <v>39</v>
      </c>
      <c r="E267" s="3">
        <v>24583.9</v>
      </c>
      <c r="F267" s="20">
        <v>0</v>
      </c>
      <c r="G267" s="20">
        <v>0</v>
      </c>
    </row>
    <row r="268" spans="1:7" ht="47.25" outlineLevel="2" x14ac:dyDescent="0.25">
      <c r="A268" s="21" t="s">
        <v>94</v>
      </c>
      <c r="B268" s="24" t="s">
        <v>304</v>
      </c>
      <c r="C268" s="24" t="s">
        <v>748</v>
      </c>
      <c r="D268" s="24" t="s">
        <v>95</v>
      </c>
      <c r="E268" s="3">
        <f>41437.7+614.1+9621.3</f>
        <v>51673.099999999991</v>
      </c>
      <c r="F268" s="20">
        <v>0</v>
      </c>
      <c r="G268" s="20">
        <v>0</v>
      </c>
    </row>
    <row r="269" spans="1:7" ht="94.5" outlineLevel="2" x14ac:dyDescent="0.25">
      <c r="A269" s="44" t="s">
        <v>834</v>
      </c>
      <c r="B269" s="19" t="s">
        <v>304</v>
      </c>
      <c r="C269" s="19" t="s">
        <v>835</v>
      </c>
      <c r="D269" s="19"/>
      <c r="E269" s="3">
        <f>+E270</f>
        <v>600</v>
      </c>
      <c r="F269" s="3">
        <f t="shared" ref="F269:G269" si="89">+F270</f>
        <v>5904.3</v>
      </c>
      <c r="G269" s="3">
        <f t="shared" si="89"/>
        <v>0</v>
      </c>
    </row>
    <row r="270" spans="1:7" ht="31.5" outlineLevel="2" x14ac:dyDescent="0.25">
      <c r="A270" s="18" t="s">
        <v>76</v>
      </c>
      <c r="B270" s="19" t="s">
        <v>304</v>
      </c>
      <c r="C270" s="19" t="s">
        <v>835</v>
      </c>
      <c r="D270" s="19" t="s">
        <v>39</v>
      </c>
      <c r="E270" s="3">
        <f>36+564</f>
        <v>600</v>
      </c>
      <c r="F270" s="20">
        <f>354.3+5550</f>
        <v>5904.3</v>
      </c>
      <c r="G270" s="20">
        <v>0</v>
      </c>
    </row>
    <row r="271" spans="1:7" ht="78.75" outlineLevel="2" x14ac:dyDescent="0.25">
      <c r="A271" s="38" t="s">
        <v>318</v>
      </c>
      <c r="B271" s="24" t="s">
        <v>304</v>
      </c>
      <c r="C271" s="24" t="s">
        <v>319</v>
      </c>
      <c r="D271" s="25"/>
      <c r="E271" s="3">
        <f>E272</f>
        <v>4879.3</v>
      </c>
      <c r="F271" s="3">
        <f t="shared" ref="F271:G271" si="90">F272</f>
        <v>3485.2</v>
      </c>
      <c r="G271" s="3">
        <f t="shared" si="90"/>
        <v>3485.2</v>
      </c>
    </row>
    <row r="272" spans="1:7" ht="31.5" outlineLevel="2" x14ac:dyDescent="0.25">
      <c r="A272" s="18" t="s">
        <v>76</v>
      </c>
      <c r="B272" s="24" t="s">
        <v>304</v>
      </c>
      <c r="C272" s="24" t="s">
        <v>319</v>
      </c>
      <c r="D272" s="25">
        <v>200</v>
      </c>
      <c r="E272" s="20">
        <v>4879.3</v>
      </c>
      <c r="F272" s="20">
        <v>3485.2</v>
      </c>
      <c r="G272" s="20">
        <v>3485.2</v>
      </c>
    </row>
    <row r="273" spans="1:7" outlineLevel="2" x14ac:dyDescent="0.25">
      <c r="A273" s="33" t="s">
        <v>144</v>
      </c>
      <c r="B273" s="31" t="s">
        <v>304</v>
      </c>
      <c r="C273" s="31" t="s">
        <v>295</v>
      </c>
      <c r="D273" s="25"/>
      <c r="E273" s="20">
        <f>E274</f>
        <v>340787.20000000001</v>
      </c>
      <c r="F273" s="20">
        <f t="shared" ref="F273:G273" si="91">F274</f>
        <v>330167.5</v>
      </c>
      <c r="G273" s="20">
        <f t="shared" si="91"/>
        <v>276994.5</v>
      </c>
    </row>
    <row r="274" spans="1:7" ht="47.25" outlineLevel="2" x14ac:dyDescent="0.25">
      <c r="A274" s="42" t="s">
        <v>474</v>
      </c>
      <c r="B274" s="24" t="s">
        <v>304</v>
      </c>
      <c r="C274" s="24" t="s">
        <v>475</v>
      </c>
      <c r="D274" s="25"/>
      <c r="E274" s="3">
        <f>E275+E278</f>
        <v>340787.20000000001</v>
      </c>
      <c r="F274" s="3">
        <f t="shared" ref="F274:G274" si="92">F275+F278</f>
        <v>330167.5</v>
      </c>
      <c r="G274" s="3">
        <f t="shared" si="92"/>
        <v>276994.5</v>
      </c>
    </row>
    <row r="275" spans="1:7" outlineLevel="2" x14ac:dyDescent="0.25">
      <c r="A275" s="30" t="s">
        <v>476</v>
      </c>
      <c r="B275" s="24" t="s">
        <v>304</v>
      </c>
      <c r="C275" s="24" t="s">
        <v>508</v>
      </c>
      <c r="D275" s="25"/>
      <c r="E275" s="20">
        <f>E277+E276</f>
        <v>284554</v>
      </c>
      <c r="F275" s="20">
        <f t="shared" ref="F275:G275" si="93">F277+F276</f>
        <v>273934.3</v>
      </c>
      <c r="G275" s="20">
        <f t="shared" si="93"/>
        <v>220761.3</v>
      </c>
    </row>
    <row r="276" spans="1:7" ht="31.5" outlineLevel="2" x14ac:dyDescent="0.25">
      <c r="A276" s="45" t="s">
        <v>76</v>
      </c>
      <c r="B276" s="24" t="s">
        <v>304</v>
      </c>
      <c r="C276" s="24" t="s">
        <v>508</v>
      </c>
      <c r="D276" s="24" t="s">
        <v>39</v>
      </c>
      <c r="E276" s="20">
        <v>0</v>
      </c>
      <c r="F276" s="20">
        <v>78338.100000000006</v>
      </c>
      <c r="G276" s="20">
        <v>81471.600000000006</v>
      </c>
    </row>
    <row r="277" spans="1:7" ht="47.25" outlineLevel="2" x14ac:dyDescent="0.25">
      <c r="A277" s="42" t="s">
        <v>94</v>
      </c>
      <c r="B277" s="24" t="s">
        <v>304</v>
      </c>
      <c r="C277" s="24" t="s">
        <v>508</v>
      </c>
      <c r="D277" s="25">
        <v>600</v>
      </c>
      <c r="E277" s="20">
        <f>273934.3+10619.7</f>
        <v>284554</v>
      </c>
      <c r="F277" s="20">
        <f>273934.3-78338.1</f>
        <v>195596.19999999998</v>
      </c>
      <c r="G277" s="20">
        <f>220761.3-81471.6</f>
        <v>139289.69999999998</v>
      </c>
    </row>
    <row r="278" spans="1:7" ht="31.5" outlineLevel="2" x14ac:dyDescent="0.25">
      <c r="A278" s="1" t="s">
        <v>477</v>
      </c>
      <c r="B278" s="24" t="s">
        <v>304</v>
      </c>
      <c r="C278" s="24" t="s">
        <v>509</v>
      </c>
      <c r="D278" s="25"/>
      <c r="E278" s="3">
        <f>E279</f>
        <v>56233.2</v>
      </c>
      <c r="F278" s="3">
        <f t="shared" ref="F278:G278" si="94">F279</f>
        <v>56233.2</v>
      </c>
      <c r="G278" s="3">
        <f t="shared" si="94"/>
        <v>56233.2</v>
      </c>
    </row>
    <row r="279" spans="1:7" ht="47.25" outlineLevel="2" x14ac:dyDescent="0.25">
      <c r="A279" s="42" t="s">
        <v>94</v>
      </c>
      <c r="B279" s="24" t="s">
        <v>304</v>
      </c>
      <c r="C279" s="24" t="s">
        <v>509</v>
      </c>
      <c r="D279" s="25">
        <v>600</v>
      </c>
      <c r="E279" s="20">
        <v>56233.2</v>
      </c>
      <c r="F279" s="20">
        <v>56233.2</v>
      </c>
      <c r="G279" s="20">
        <v>56233.2</v>
      </c>
    </row>
    <row r="280" spans="1:7" ht="47.25" outlineLevel="2" x14ac:dyDescent="0.25">
      <c r="A280" s="30" t="s">
        <v>370</v>
      </c>
      <c r="B280" s="24" t="s">
        <v>304</v>
      </c>
      <c r="C280" s="24" t="s">
        <v>371</v>
      </c>
      <c r="D280" s="43"/>
      <c r="E280" s="20">
        <f>+E281</f>
        <v>332.6</v>
      </c>
      <c r="F280" s="20">
        <f t="shared" ref="F280:G283" si="95">+F281</f>
        <v>0</v>
      </c>
      <c r="G280" s="20">
        <f t="shared" si="95"/>
        <v>0</v>
      </c>
    </row>
    <row r="281" spans="1:7" ht="31.5" outlineLevel="2" x14ac:dyDescent="0.25">
      <c r="A281" s="30" t="s">
        <v>155</v>
      </c>
      <c r="B281" s="24" t="s">
        <v>304</v>
      </c>
      <c r="C281" s="24" t="s">
        <v>372</v>
      </c>
      <c r="D281" s="43"/>
      <c r="E281" s="20">
        <f>+E282</f>
        <v>332.6</v>
      </c>
      <c r="F281" s="20">
        <f t="shared" si="95"/>
        <v>0</v>
      </c>
      <c r="G281" s="20">
        <f t="shared" si="95"/>
        <v>0</v>
      </c>
    </row>
    <row r="282" spans="1:7" ht="63" outlineLevel="2" x14ac:dyDescent="0.25">
      <c r="A282" s="30" t="s">
        <v>373</v>
      </c>
      <c r="B282" s="24" t="s">
        <v>304</v>
      </c>
      <c r="C282" s="24" t="s">
        <v>374</v>
      </c>
      <c r="D282" s="43"/>
      <c r="E282" s="20">
        <f>+E283</f>
        <v>332.6</v>
      </c>
      <c r="F282" s="20">
        <f t="shared" si="95"/>
        <v>0</v>
      </c>
      <c r="G282" s="20">
        <f t="shared" si="95"/>
        <v>0</v>
      </c>
    </row>
    <row r="283" spans="1:7" ht="63" outlineLevel="2" x14ac:dyDescent="0.25">
      <c r="A283" s="34" t="s">
        <v>749</v>
      </c>
      <c r="B283" s="24" t="s">
        <v>304</v>
      </c>
      <c r="C283" s="24" t="s">
        <v>750</v>
      </c>
      <c r="D283" s="43"/>
      <c r="E283" s="20">
        <f>+E284</f>
        <v>332.6</v>
      </c>
      <c r="F283" s="20">
        <f t="shared" si="95"/>
        <v>0</v>
      </c>
      <c r="G283" s="20">
        <f t="shared" si="95"/>
        <v>0</v>
      </c>
    </row>
    <row r="284" spans="1:7" ht="31.5" outlineLevel="2" x14ac:dyDescent="0.25">
      <c r="A284" s="30" t="s">
        <v>76</v>
      </c>
      <c r="B284" s="24" t="s">
        <v>304</v>
      </c>
      <c r="C284" s="24" t="s">
        <v>750</v>
      </c>
      <c r="D284" s="24" t="s">
        <v>39</v>
      </c>
      <c r="E284" s="20">
        <v>332.6</v>
      </c>
      <c r="F284" s="20">
        <v>0</v>
      </c>
      <c r="G284" s="20">
        <v>0</v>
      </c>
    </row>
    <row r="285" spans="1:7" ht="31.5" outlineLevel="1" x14ac:dyDescent="0.25">
      <c r="A285" s="34" t="s">
        <v>320</v>
      </c>
      <c r="B285" s="24" t="s">
        <v>321</v>
      </c>
      <c r="C285" s="24"/>
      <c r="D285" s="25"/>
      <c r="E285" s="20">
        <f>E286+E297</f>
        <v>35450.399999999994</v>
      </c>
      <c r="F285" s="20">
        <f>F286+F297</f>
        <v>12161.3</v>
      </c>
      <c r="G285" s="20">
        <f>G286+G297</f>
        <v>12183.5</v>
      </c>
    </row>
    <row r="286" spans="1:7" ht="47.25" outlineLevel="2" x14ac:dyDescent="0.25">
      <c r="A286" s="34" t="s">
        <v>322</v>
      </c>
      <c r="B286" s="24" t="s">
        <v>321</v>
      </c>
      <c r="C286" s="24" t="s">
        <v>323</v>
      </c>
      <c r="D286" s="25"/>
      <c r="E286" s="3">
        <f t="shared" ref="E286:G287" si="96">E287</f>
        <v>21844.799999999999</v>
      </c>
      <c r="F286" s="3">
        <f t="shared" si="96"/>
        <v>2329.8000000000002</v>
      </c>
      <c r="G286" s="3">
        <f t="shared" si="96"/>
        <v>2352</v>
      </c>
    </row>
    <row r="287" spans="1:7" ht="31.5" outlineLevel="2" x14ac:dyDescent="0.25">
      <c r="A287" s="33" t="s">
        <v>155</v>
      </c>
      <c r="B287" s="31" t="s">
        <v>321</v>
      </c>
      <c r="C287" s="31" t="s">
        <v>324</v>
      </c>
      <c r="D287" s="25"/>
      <c r="E287" s="20">
        <f t="shared" si="96"/>
        <v>21844.799999999999</v>
      </c>
      <c r="F287" s="20">
        <f t="shared" si="96"/>
        <v>2329.8000000000002</v>
      </c>
      <c r="G287" s="20">
        <f t="shared" si="96"/>
        <v>2352</v>
      </c>
    </row>
    <row r="288" spans="1:7" ht="47.25" outlineLevel="2" x14ac:dyDescent="0.25">
      <c r="A288" s="38" t="s">
        <v>325</v>
      </c>
      <c r="B288" s="24" t="s">
        <v>321</v>
      </c>
      <c r="C288" s="24" t="s">
        <v>326</v>
      </c>
      <c r="D288" s="25"/>
      <c r="E288" s="20">
        <f>E291+E289+E295+E293</f>
        <v>21844.799999999999</v>
      </c>
      <c r="F288" s="20">
        <f>F291+F289+F295</f>
        <v>2329.8000000000002</v>
      </c>
      <c r="G288" s="20">
        <f>G291+G289+G295</f>
        <v>2352</v>
      </c>
    </row>
    <row r="289" spans="1:7" ht="47.25" outlineLevel="2" x14ac:dyDescent="0.25">
      <c r="A289" s="18" t="s">
        <v>327</v>
      </c>
      <c r="B289" s="24" t="s">
        <v>321</v>
      </c>
      <c r="C289" s="24" t="s">
        <v>328</v>
      </c>
      <c r="D289" s="25"/>
      <c r="E289" s="3">
        <f>E290</f>
        <v>48</v>
      </c>
      <c r="F289" s="3">
        <f>F290</f>
        <v>49.9</v>
      </c>
      <c r="G289" s="3">
        <f>G290</f>
        <v>51.9</v>
      </c>
    </row>
    <row r="290" spans="1:7" ht="31.5" outlineLevel="2" x14ac:dyDescent="0.25">
      <c r="A290" s="18" t="s">
        <v>76</v>
      </c>
      <c r="B290" s="24" t="s">
        <v>321</v>
      </c>
      <c r="C290" s="24" t="s">
        <v>328</v>
      </c>
      <c r="D290" s="25">
        <v>200</v>
      </c>
      <c r="E290" s="20">
        <v>48</v>
      </c>
      <c r="F290" s="20">
        <v>49.9</v>
      </c>
      <c r="G290" s="20">
        <v>51.9</v>
      </c>
    </row>
    <row r="291" spans="1:7" ht="63" outlineLevel="2" x14ac:dyDescent="0.25">
      <c r="A291" s="38" t="s">
        <v>329</v>
      </c>
      <c r="B291" s="24" t="s">
        <v>321</v>
      </c>
      <c r="C291" s="24" t="s">
        <v>330</v>
      </c>
      <c r="D291" s="25"/>
      <c r="E291" s="20">
        <f>E292</f>
        <v>475.5</v>
      </c>
      <c r="F291" s="20">
        <f>F292</f>
        <v>449.20000000000005</v>
      </c>
      <c r="G291" s="20">
        <f>G292</f>
        <v>468.79999999999995</v>
      </c>
    </row>
    <row r="292" spans="1:7" ht="31.5" outlineLevel="2" x14ac:dyDescent="0.25">
      <c r="A292" s="18" t="s">
        <v>76</v>
      </c>
      <c r="B292" s="24" t="s">
        <v>321</v>
      </c>
      <c r="C292" s="24" t="s">
        <v>330</v>
      </c>
      <c r="D292" s="25">
        <v>200</v>
      </c>
      <c r="E292" s="3">
        <v>475.5</v>
      </c>
      <c r="F292" s="3">
        <v>449.20000000000005</v>
      </c>
      <c r="G292" s="3">
        <v>468.79999999999995</v>
      </c>
    </row>
    <row r="293" spans="1:7" ht="110.25" outlineLevel="2" x14ac:dyDescent="0.25">
      <c r="A293" s="18" t="s">
        <v>692</v>
      </c>
      <c r="B293" s="19" t="s">
        <v>321</v>
      </c>
      <c r="C293" s="19" t="s">
        <v>693</v>
      </c>
      <c r="D293" s="19"/>
      <c r="E293" s="20">
        <f>+E294</f>
        <v>14000</v>
      </c>
      <c r="F293" s="20">
        <f t="shared" ref="F293:G293" si="97">+F294</f>
        <v>0</v>
      </c>
      <c r="G293" s="20">
        <f t="shared" si="97"/>
        <v>0</v>
      </c>
    </row>
    <row r="294" spans="1:7" outlineLevel="2" x14ac:dyDescent="0.25">
      <c r="A294" s="23" t="s">
        <v>33</v>
      </c>
      <c r="B294" s="19" t="s">
        <v>321</v>
      </c>
      <c r="C294" s="19" t="s">
        <v>693</v>
      </c>
      <c r="D294" s="19" t="s">
        <v>529</v>
      </c>
      <c r="E294" s="20">
        <v>14000</v>
      </c>
      <c r="F294" s="20">
        <v>0</v>
      </c>
      <c r="G294" s="20">
        <v>0</v>
      </c>
    </row>
    <row r="295" spans="1:7" ht="189" outlineLevel="2" x14ac:dyDescent="0.25">
      <c r="A295" s="33" t="s">
        <v>503</v>
      </c>
      <c r="B295" s="24" t="s">
        <v>321</v>
      </c>
      <c r="C295" s="24" t="s">
        <v>331</v>
      </c>
      <c r="D295" s="25"/>
      <c r="E295" s="3">
        <f>E296</f>
        <v>7321.2999999999993</v>
      </c>
      <c r="F295" s="3">
        <f>F296</f>
        <v>1830.7</v>
      </c>
      <c r="G295" s="3">
        <f>G296</f>
        <v>1831.3</v>
      </c>
    </row>
    <row r="296" spans="1:7" outlineLevel="2" x14ac:dyDescent="0.25">
      <c r="A296" s="46" t="s">
        <v>33</v>
      </c>
      <c r="B296" s="24" t="s">
        <v>321</v>
      </c>
      <c r="C296" s="24" t="s">
        <v>331</v>
      </c>
      <c r="D296" s="25">
        <v>800</v>
      </c>
      <c r="E296" s="20">
        <v>7321.2999999999993</v>
      </c>
      <c r="F296" s="20">
        <v>1830.7</v>
      </c>
      <c r="G296" s="20">
        <v>1831.3</v>
      </c>
    </row>
    <row r="297" spans="1:7" ht="78.75" outlineLevel="2" x14ac:dyDescent="0.25">
      <c r="A297" s="33" t="s">
        <v>332</v>
      </c>
      <c r="B297" s="31" t="s">
        <v>321</v>
      </c>
      <c r="C297" s="31" t="s">
        <v>333</v>
      </c>
      <c r="D297" s="31"/>
      <c r="E297" s="20">
        <f>E298</f>
        <v>13605.599999999999</v>
      </c>
      <c r="F297" s="20">
        <f t="shared" ref="F297:G297" si="98">F298</f>
        <v>9831.5</v>
      </c>
      <c r="G297" s="20">
        <f t="shared" si="98"/>
        <v>9831.5</v>
      </c>
    </row>
    <row r="298" spans="1:7" ht="31.5" outlineLevel="2" x14ac:dyDescent="0.25">
      <c r="A298" s="33" t="s">
        <v>155</v>
      </c>
      <c r="B298" s="31" t="s">
        <v>321</v>
      </c>
      <c r="C298" s="31" t="s">
        <v>334</v>
      </c>
      <c r="D298" s="31"/>
      <c r="E298" s="3">
        <f>E299+E306</f>
        <v>13605.599999999999</v>
      </c>
      <c r="F298" s="3">
        <f>F299+F306</f>
        <v>9831.5</v>
      </c>
      <c r="G298" s="3">
        <f>G299+G306</f>
        <v>9831.5</v>
      </c>
    </row>
    <row r="299" spans="1:7" ht="47.25" outlineLevel="2" x14ac:dyDescent="0.25">
      <c r="A299" s="33" t="s">
        <v>335</v>
      </c>
      <c r="B299" s="31" t="s">
        <v>321</v>
      </c>
      <c r="C299" s="31" t="s">
        <v>336</v>
      </c>
      <c r="D299" s="31"/>
      <c r="E299" s="20">
        <f>E300+E302+E304</f>
        <v>2347.1999999999998</v>
      </c>
      <c r="F299" s="20">
        <f t="shared" ref="F299:G299" si="99">F300+F302+F304</f>
        <v>793.9</v>
      </c>
      <c r="G299" s="20">
        <f t="shared" si="99"/>
        <v>793.9</v>
      </c>
    </row>
    <row r="300" spans="1:7" outlineLevel="2" x14ac:dyDescent="0.25">
      <c r="A300" s="33" t="s">
        <v>337</v>
      </c>
      <c r="B300" s="31" t="s">
        <v>321</v>
      </c>
      <c r="C300" s="31" t="s">
        <v>338</v>
      </c>
      <c r="D300" s="31"/>
      <c r="E300" s="20">
        <f>E301</f>
        <v>1047.2</v>
      </c>
      <c r="F300" s="20">
        <f t="shared" ref="F300:G300" si="100">F301</f>
        <v>793.9</v>
      </c>
      <c r="G300" s="20">
        <f t="shared" si="100"/>
        <v>793.9</v>
      </c>
    </row>
    <row r="301" spans="1:7" ht="31.5" outlineLevel="2" x14ac:dyDescent="0.25">
      <c r="A301" s="33" t="s">
        <v>76</v>
      </c>
      <c r="B301" s="31" t="s">
        <v>321</v>
      </c>
      <c r="C301" s="31" t="s">
        <v>338</v>
      </c>
      <c r="D301" s="31">
        <v>200</v>
      </c>
      <c r="E301" s="3">
        <v>1047.2</v>
      </c>
      <c r="F301" s="3">
        <v>793.9</v>
      </c>
      <c r="G301" s="3">
        <v>793.9</v>
      </c>
    </row>
    <row r="302" spans="1:7" ht="47.25" outlineLevel="2" x14ac:dyDescent="0.25">
      <c r="A302" s="23" t="s">
        <v>770</v>
      </c>
      <c r="B302" s="19" t="s">
        <v>321</v>
      </c>
      <c r="C302" s="19" t="s">
        <v>771</v>
      </c>
      <c r="D302" s="19"/>
      <c r="E302" s="3">
        <f>E303</f>
        <v>448.9</v>
      </c>
      <c r="F302" s="3">
        <f t="shared" ref="F302:G302" si="101">F303</f>
        <v>0</v>
      </c>
      <c r="G302" s="3">
        <f t="shared" si="101"/>
        <v>0</v>
      </c>
    </row>
    <row r="303" spans="1:7" ht="31.5" outlineLevel="2" x14ac:dyDescent="0.25">
      <c r="A303" s="23" t="s">
        <v>76</v>
      </c>
      <c r="B303" s="19" t="s">
        <v>321</v>
      </c>
      <c r="C303" s="19" t="s">
        <v>771</v>
      </c>
      <c r="D303" s="19">
        <v>200</v>
      </c>
      <c r="E303" s="3">
        <v>448.9</v>
      </c>
      <c r="F303" s="3">
        <v>0</v>
      </c>
      <c r="G303" s="3">
        <v>0</v>
      </c>
    </row>
    <row r="304" spans="1:7" outlineLevel="2" x14ac:dyDescent="0.25">
      <c r="A304" s="23" t="s">
        <v>339</v>
      </c>
      <c r="B304" s="19" t="s">
        <v>321</v>
      </c>
      <c r="C304" s="19" t="s">
        <v>772</v>
      </c>
      <c r="D304" s="19"/>
      <c r="E304" s="20">
        <f>E305</f>
        <v>851.1</v>
      </c>
      <c r="F304" s="20">
        <f t="shared" ref="F304:G304" si="102">F305</f>
        <v>0</v>
      </c>
      <c r="G304" s="20">
        <f t="shared" si="102"/>
        <v>0</v>
      </c>
    </row>
    <row r="305" spans="1:7" ht="31.5" outlineLevel="2" x14ac:dyDescent="0.25">
      <c r="A305" s="23" t="s">
        <v>76</v>
      </c>
      <c r="B305" s="19" t="s">
        <v>321</v>
      </c>
      <c r="C305" s="19" t="s">
        <v>772</v>
      </c>
      <c r="D305" s="19">
        <v>200</v>
      </c>
      <c r="E305" s="20">
        <v>851.1</v>
      </c>
      <c r="F305" s="20">
        <v>0</v>
      </c>
      <c r="G305" s="20">
        <v>0</v>
      </c>
    </row>
    <row r="306" spans="1:7" ht="47.25" outlineLevel="2" x14ac:dyDescent="0.25">
      <c r="A306" s="33" t="s">
        <v>340</v>
      </c>
      <c r="B306" s="31" t="s">
        <v>321</v>
      </c>
      <c r="C306" s="31" t="s">
        <v>341</v>
      </c>
      <c r="D306" s="31"/>
      <c r="E306" s="3">
        <f>E307+E309</f>
        <v>11258.399999999998</v>
      </c>
      <c r="F306" s="3">
        <f>F307+F309</f>
        <v>9037.6</v>
      </c>
      <c r="G306" s="3">
        <f>G307+G309</f>
        <v>9037.6</v>
      </c>
    </row>
    <row r="307" spans="1:7" ht="78.75" outlineLevel="2" x14ac:dyDescent="0.25">
      <c r="A307" s="33" t="s">
        <v>342</v>
      </c>
      <c r="B307" s="31" t="s">
        <v>321</v>
      </c>
      <c r="C307" s="31" t="s">
        <v>343</v>
      </c>
      <c r="D307" s="31"/>
      <c r="E307" s="20">
        <f>E308</f>
        <v>3521.2</v>
      </c>
      <c r="F307" s="20">
        <f>F308</f>
        <v>1668</v>
      </c>
      <c r="G307" s="20">
        <f>G308</f>
        <v>1668</v>
      </c>
    </row>
    <row r="308" spans="1:7" ht="31.5" outlineLevel="2" x14ac:dyDescent="0.25">
      <c r="A308" s="33" t="s">
        <v>76</v>
      </c>
      <c r="B308" s="31" t="s">
        <v>321</v>
      </c>
      <c r="C308" s="31" t="s">
        <v>343</v>
      </c>
      <c r="D308" s="31">
        <v>200</v>
      </c>
      <c r="E308" s="20">
        <v>3521.2</v>
      </c>
      <c r="F308" s="20">
        <v>1668</v>
      </c>
      <c r="G308" s="20">
        <v>1668</v>
      </c>
    </row>
    <row r="309" spans="1:7" ht="47.25" outlineLevel="2" x14ac:dyDescent="0.25">
      <c r="A309" s="33" t="s">
        <v>344</v>
      </c>
      <c r="B309" s="31" t="s">
        <v>321</v>
      </c>
      <c r="C309" s="31" t="s">
        <v>345</v>
      </c>
      <c r="D309" s="31"/>
      <c r="E309" s="3">
        <f>E310</f>
        <v>7737.1999999999989</v>
      </c>
      <c r="F309" s="3">
        <f>F310</f>
        <v>7369.6</v>
      </c>
      <c r="G309" s="3">
        <f>G310</f>
        <v>7369.6</v>
      </c>
    </row>
    <row r="310" spans="1:7" ht="31.5" outlineLevel="2" x14ac:dyDescent="0.25">
      <c r="A310" s="33" t="s">
        <v>76</v>
      </c>
      <c r="B310" s="31" t="s">
        <v>321</v>
      </c>
      <c r="C310" s="31" t="s">
        <v>345</v>
      </c>
      <c r="D310" s="31">
        <v>200</v>
      </c>
      <c r="E310" s="20">
        <f>23912.6-16175.4</f>
        <v>7737.1999999999989</v>
      </c>
      <c r="F310" s="20">
        <v>7369.6</v>
      </c>
      <c r="G310" s="20">
        <v>7369.6</v>
      </c>
    </row>
    <row r="311" spans="1:7" x14ac:dyDescent="0.25">
      <c r="A311" s="35" t="s">
        <v>346</v>
      </c>
      <c r="B311" s="36" t="s">
        <v>51</v>
      </c>
      <c r="C311" s="36"/>
      <c r="D311" s="47"/>
      <c r="E311" s="17">
        <f>E312+E349+E499+E585</f>
        <v>5288686.3000000007</v>
      </c>
      <c r="F311" s="17">
        <f>F312+F349+F499+F585</f>
        <v>5270696.3000000007</v>
      </c>
      <c r="G311" s="17">
        <f>G312+G349+G499+G585</f>
        <v>5036163.9000000004</v>
      </c>
    </row>
    <row r="312" spans="1:7" outlineLevel="1" x14ac:dyDescent="0.25">
      <c r="A312" s="34" t="s">
        <v>52</v>
      </c>
      <c r="B312" s="24" t="s">
        <v>53</v>
      </c>
      <c r="C312" s="24"/>
      <c r="D312" s="25"/>
      <c r="E312" s="20">
        <f t="shared" ref="E312:G312" si="103">E327+E313</f>
        <v>84247.8</v>
      </c>
      <c r="F312" s="20">
        <f t="shared" si="103"/>
        <v>18884.099999999999</v>
      </c>
      <c r="G312" s="20">
        <f t="shared" si="103"/>
        <v>18884.099999999999</v>
      </c>
    </row>
    <row r="313" spans="1:7" ht="47.25" outlineLevel="2" x14ac:dyDescent="0.25">
      <c r="A313" s="30" t="s">
        <v>59</v>
      </c>
      <c r="B313" s="24" t="s">
        <v>53</v>
      </c>
      <c r="C313" s="24" t="s">
        <v>60</v>
      </c>
      <c r="D313" s="25"/>
      <c r="E313" s="20">
        <f>E323+E314</f>
        <v>44261.8</v>
      </c>
      <c r="F313" s="20">
        <f>F323</f>
        <v>1024.8</v>
      </c>
      <c r="G313" s="20">
        <f>G323</f>
        <v>1024.8</v>
      </c>
    </row>
    <row r="314" spans="1:7" outlineLevel="2" x14ac:dyDescent="0.25">
      <c r="A314" s="21" t="s">
        <v>228</v>
      </c>
      <c r="B314" s="19" t="s">
        <v>53</v>
      </c>
      <c r="C314" s="19" t="s">
        <v>700</v>
      </c>
      <c r="D314" s="19"/>
      <c r="E314" s="20">
        <f t="shared" ref="E314:G321" si="104">E315</f>
        <v>36099.300000000003</v>
      </c>
      <c r="F314" s="20">
        <f t="shared" si="104"/>
        <v>0</v>
      </c>
      <c r="G314" s="20">
        <f t="shared" si="104"/>
        <v>0</v>
      </c>
    </row>
    <row r="315" spans="1:7" ht="31.5" outlineLevel="2" x14ac:dyDescent="0.25">
      <c r="A315" s="21" t="s">
        <v>698</v>
      </c>
      <c r="B315" s="19" t="s">
        <v>53</v>
      </c>
      <c r="C315" s="19" t="s">
        <v>701</v>
      </c>
      <c r="D315" s="19"/>
      <c r="E315" s="20">
        <f>E321+E316+E319</f>
        <v>36099.300000000003</v>
      </c>
      <c r="F315" s="20">
        <f t="shared" ref="F315:G315" si="105">F321+F316+F319</f>
        <v>0</v>
      </c>
      <c r="G315" s="20">
        <f t="shared" si="105"/>
        <v>0</v>
      </c>
    </row>
    <row r="316" spans="1:7" ht="31.5" outlineLevel="2" x14ac:dyDescent="0.25">
      <c r="A316" s="21" t="s">
        <v>791</v>
      </c>
      <c r="B316" s="19" t="s">
        <v>53</v>
      </c>
      <c r="C316" s="19" t="s">
        <v>792</v>
      </c>
      <c r="D316" s="19"/>
      <c r="E316" s="20">
        <f>+E317+E318</f>
        <v>27561.599999999999</v>
      </c>
      <c r="F316" s="20">
        <f t="shared" ref="F316:G316" si="106">+F317+F318</f>
        <v>0</v>
      </c>
      <c r="G316" s="20">
        <f t="shared" si="106"/>
        <v>0</v>
      </c>
    </row>
    <row r="317" spans="1:7" ht="47.25" outlineLevel="2" x14ac:dyDescent="0.25">
      <c r="A317" s="9" t="s">
        <v>310</v>
      </c>
      <c r="B317" s="19" t="s">
        <v>53</v>
      </c>
      <c r="C317" s="19" t="s">
        <v>792</v>
      </c>
      <c r="D317" s="19" t="s">
        <v>464</v>
      </c>
      <c r="E317" s="20">
        <f>2056.8+25481.8</f>
        <v>27538.6</v>
      </c>
      <c r="F317" s="20">
        <v>0</v>
      </c>
      <c r="G317" s="20">
        <v>0</v>
      </c>
    </row>
    <row r="318" spans="1:7" outlineLevel="2" x14ac:dyDescent="0.25">
      <c r="A318" s="30" t="s">
        <v>33</v>
      </c>
      <c r="B318" s="19" t="s">
        <v>53</v>
      </c>
      <c r="C318" s="19" t="s">
        <v>792</v>
      </c>
      <c r="D318" s="19" t="s">
        <v>529</v>
      </c>
      <c r="E318" s="20">
        <f>2079.8-2056.8</f>
        <v>23</v>
      </c>
      <c r="F318" s="20">
        <v>0</v>
      </c>
      <c r="G318" s="20">
        <v>0</v>
      </c>
    </row>
    <row r="319" spans="1:7" ht="31.5" outlineLevel="2" x14ac:dyDescent="0.25">
      <c r="A319" s="30" t="s">
        <v>791</v>
      </c>
      <c r="B319" s="19" t="s">
        <v>53</v>
      </c>
      <c r="C319" s="19" t="s">
        <v>799</v>
      </c>
      <c r="D319" s="19"/>
      <c r="E319" s="20">
        <f>+E320</f>
        <v>3187.3</v>
      </c>
      <c r="F319" s="20">
        <f t="shared" ref="F319:G319" si="107">+F320</f>
        <v>0</v>
      </c>
      <c r="G319" s="20">
        <f t="shared" si="107"/>
        <v>0</v>
      </c>
    </row>
    <row r="320" spans="1:7" ht="47.25" outlineLevel="2" x14ac:dyDescent="0.25">
      <c r="A320" s="42" t="s">
        <v>310</v>
      </c>
      <c r="B320" s="19" t="s">
        <v>53</v>
      </c>
      <c r="C320" s="19" t="s">
        <v>799</v>
      </c>
      <c r="D320" s="19" t="s">
        <v>464</v>
      </c>
      <c r="E320" s="20">
        <f>2932.5+254.8</f>
        <v>3187.3</v>
      </c>
      <c r="F320" s="20">
        <v>0</v>
      </c>
      <c r="G320" s="20">
        <v>0</v>
      </c>
    </row>
    <row r="321" spans="1:7" ht="47.25" outlineLevel="2" x14ac:dyDescent="0.25">
      <c r="A321" s="21" t="s">
        <v>699</v>
      </c>
      <c r="B321" s="19" t="s">
        <v>53</v>
      </c>
      <c r="C321" s="19" t="s">
        <v>702</v>
      </c>
      <c r="D321" s="19"/>
      <c r="E321" s="20">
        <f t="shared" si="104"/>
        <v>5350.4</v>
      </c>
      <c r="F321" s="20">
        <f t="shared" si="104"/>
        <v>0</v>
      </c>
      <c r="G321" s="20">
        <f t="shared" si="104"/>
        <v>0</v>
      </c>
    </row>
    <row r="322" spans="1:7" ht="47.25" outlineLevel="2" x14ac:dyDescent="0.25">
      <c r="A322" s="9" t="s">
        <v>310</v>
      </c>
      <c r="B322" s="19" t="s">
        <v>53</v>
      </c>
      <c r="C322" s="19" t="s">
        <v>702</v>
      </c>
      <c r="D322" s="19" t="s">
        <v>464</v>
      </c>
      <c r="E322" s="20">
        <v>5350.4</v>
      </c>
      <c r="F322" s="20">
        <v>0</v>
      </c>
      <c r="G322" s="20">
        <v>0</v>
      </c>
    </row>
    <row r="323" spans="1:7" outlineLevel="2" x14ac:dyDescent="0.25">
      <c r="A323" s="33" t="s">
        <v>144</v>
      </c>
      <c r="B323" s="31" t="s">
        <v>53</v>
      </c>
      <c r="C323" s="31" t="s">
        <v>135</v>
      </c>
      <c r="D323" s="25"/>
      <c r="E323" s="20">
        <f>E324</f>
        <v>8162.5</v>
      </c>
      <c r="F323" s="20">
        <f t="shared" ref="F323:G325" si="108">F324</f>
        <v>1024.8</v>
      </c>
      <c r="G323" s="20">
        <f t="shared" si="108"/>
        <v>1024.8</v>
      </c>
    </row>
    <row r="324" spans="1:7" ht="110.25" outlineLevel="2" x14ac:dyDescent="0.25">
      <c r="A324" s="30" t="s">
        <v>400</v>
      </c>
      <c r="B324" s="24" t="s">
        <v>53</v>
      </c>
      <c r="C324" s="24" t="s">
        <v>401</v>
      </c>
      <c r="D324" s="25"/>
      <c r="E324" s="20">
        <f>E325</f>
        <v>8162.5</v>
      </c>
      <c r="F324" s="20">
        <f t="shared" si="108"/>
        <v>1024.8</v>
      </c>
      <c r="G324" s="20">
        <f t="shared" si="108"/>
        <v>1024.8</v>
      </c>
    </row>
    <row r="325" spans="1:7" outlineLevel="2" x14ac:dyDescent="0.25">
      <c r="A325" s="30" t="s">
        <v>402</v>
      </c>
      <c r="B325" s="24" t="s">
        <v>53</v>
      </c>
      <c r="C325" s="24" t="s">
        <v>403</v>
      </c>
      <c r="D325" s="25"/>
      <c r="E325" s="20">
        <f>E326</f>
        <v>8162.5</v>
      </c>
      <c r="F325" s="20">
        <f t="shared" si="108"/>
        <v>1024.8</v>
      </c>
      <c r="G325" s="20">
        <f t="shared" si="108"/>
        <v>1024.8</v>
      </c>
    </row>
    <row r="326" spans="1:7" ht="31.5" outlineLevel="2" x14ac:dyDescent="0.25">
      <c r="A326" s="42" t="s">
        <v>76</v>
      </c>
      <c r="B326" s="24" t="s">
        <v>53</v>
      </c>
      <c r="C326" s="24" t="s">
        <v>403</v>
      </c>
      <c r="D326" s="25">
        <v>200</v>
      </c>
      <c r="E326" s="20">
        <v>8162.5</v>
      </c>
      <c r="F326" s="20">
        <v>1024.8</v>
      </c>
      <c r="G326" s="20">
        <v>1024.8</v>
      </c>
    </row>
    <row r="327" spans="1:7" ht="78.75" outlineLevel="2" x14ac:dyDescent="0.25">
      <c r="A327" s="34" t="s">
        <v>347</v>
      </c>
      <c r="B327" s="24" t="s">
        <v>53</v>
      </c>
      <c r="C327" s="24" t="s">
        <v>54</v>
      </c>
      <c r="D327" s="25"/>
      <c r="E327" s="20">
        <f>E328+E342</f>
        <v>39986</v>
      </c>
      <c r="F327" s="20">
        <f>F328+F342</f>
        <v>17859.3</v>
      </c>
      <c r="G327" s="20">
        <f>G328+G342</f>
        <v>17859.3</v>
      </c>
    </row>
    <row r="328" spans="1:7" ht="31.5" outlineLevel="2" x14ac:dyDescent="0.25">
      <c r="A328" s="33" t="s">
        <v>155</v>
      </c>
      <c r="B328" s="31" t="s">
        <v>53</v>
      </c>
      <c r="C328" s="31" t="s">
        <v>348</v>
      </c>
      <c r="D328" s="25"/>
      <c r="E328" s="20">
        <f>E329</f>
        <v>23373.9</v>
      </c>
      <c r="F328" s="20">
        <f>F329</f>
        <v>0</v>
      </c>
      <c r="G328" s="20">
        <f>G329</f>
        <v>0</v>
      </c>
    </row>
    <row r="329" spans="1:7" ht="31.5" outlineLevel="2" x14ac:dyDescent="0.25">
      <c r="A329" s="33" t="s">
        <v>349</v>
      </c>
      <c r="B329" s="24" t="s">
        <v>53</v>
      </c>
      <c r="C329" s="24" t="s">
        <v>350</v>
      </c>
      <c r="D329" s="25"/>
      <c r="E329" s="20">
        <f>E330+E332+E334+E340+E336+E338</f>
        <v>23373.9</v>
      </c>
      <c r="F329" s="20">
        <f t="shared" ref="F329:G329" si="109">F330+F332+F334+F340+F336+F338</f>
        <v>0</v>
      </c>
      <c r="G329" s="20">
        <f t="shared" si="109"/>
        <v>0</v>
      </c>
    </row>
    <row r="330" spans="1:7" outlineLevel="2" x14ac:dyDescent="0.25">
      <c r="A330" s="21" t="s">
        <v>351</v>
      </c>
      <c r="B330" s="24" t="s">
        <v>53</v>
      </c>
      <c r="C330" s="24" t="s">
        <v>352</v>
      </c>
      <c r="D330" s="25"/>
      <c r="E330" s="20">
        <f>E331</f>
        <v>9903</v>
      </c>
      <c r="F330" s="20">
        <f t="shared" ref="F330:G330" si="110">F331</f>
        <v>0</v>
      </c>
      <c r="G330" s="20">
        <f t="shared" si="110"/>
        <v>0</v>
      </c>
    </row>
    <row r="331" spans="1:7" ht="31.5" outlineLevel="2" x14ac:dyDescent="0.25">
      <c r="A331" s="33" t="s">
        <v>76</v>
      </c>
      <c r="B331" s="24" t="s">
        <v>53</v>
      </c>
      <c r="C331" s="24" t="s">
        <v>352</v>
      </c>
      <c r="D331" s="2">
        <v>200</v>
      </c>
      <c r="E331" s="20">
        <f>10493.6-590.6</f>
        <v>9903</v>
      </c>
      <c r="F331" s="20">
        <v>0</v>
      </c>
      <c r="G331" s="20">
        <v>0</v>
      </c>
    </row>
    <row r="332" spans="1:7" ht="31.5" outlineLevel="2" x14ac:dyDescent="0.25">
      <c r="A332" s="23" t="s">
        <v>694</v>
      </c>
      <c r="B332" s="19" t="s">
        <v>53</v>
      </c>
      <c r="C332" s="19" t="s">
        <v>695</v>
      </c>
      <c r="D332" s="19"/>
      <c r="E332" s="20">
        <f t="shared" ref="E332:G332" si="111">E333</f>
        <v>219.5</v>
      </c>
      <c r="F332" s="20">
        <f t="shared" si="111"/>
        <v>0</v>
      </c>
      <c r="G332" s="20">
        <f t="shared" si="111"/>
        <v>0</v>
      </c>
    </row>
    <row r="333" spans="1:7" ht="31.5" outlineLevel="2" x14ac:dyDescent="0.25">
      <c r="A333" s="23" t="s">
        <v>76</v>
      </c>
      <c r="B333" s="19" t="s">
        <v>53</v>
      </c>
      <c r="C333" s="19" t="s">
        <v>695</v>
      </c>
      <c r="D333" s="19">
        <v>200</v>
      </c>
      <c r="E333" s="20">
        <v>219.5</v>
      </c>
      <c r="F333" s="20">
        <v>0</v>
      </c>
      <c r="G333" s="20">
        <v>0</v>
      </c>
    </row>
    <row r="334" spans="1:7" ht="47.25" outlineLevel="2" x14ac:dyDescent="0.25">
      <c r="A334" s="23" t="s">
        <v>516</v>
      </c>
      <c r="B334" s="19" t="s">
        <v>53</v>
      </c>
      <c r="C334" s="19" t="s">
        <v>517</v>
      </c>
      <c r="D334" s="19"/>
      <c r="E334" s="20">
        <f>E335</f>
        <v>4408.9000000000005</v>
      </c>
      <c r="F334" s="20">
        <f t="shared" ref="F334:G334" si="112">F335</f>
        <v>0</v>
      </c>
      <c r="G334" s="20">
        <f t="shared" si="112"/>
        <v>0</v>
      </c>
    </row>
    <row r="335" spans="1:7" ht="31.5" outlineLevel="2" x14ac:dyDescent="0.25">
      <c r="A335" s="23" t="s">
        <v>76</v>
      </c>
      <c r="B335" s="19" t="s">
        <v>53</v>
      </c>
      <c r="C335" s="19" t="s">
        <v>517</v>
      </c>
      <c r="D335" s="19">
        <v>200</v>
      </c>
      <c r="E335" s="20">
        <f>3818.3+590.6</f>
        <v>4408.9000000000005</v>
      </c>
      <c r="F335" s="20">
        <v>0</v>
      </c>
      <c r="G335" s="20">
        <v>0</v>
      </c>
    </row>
    <row r="336" spans="1:7" ht="47.25" outlineLevel="2" x14ac:dyDescent="0.25">
      <c r="A336" s="23" t="s">
        <v>760</v>
      </c>
      <c r="B336" s="19" t="s">
        <v>53</v>
      </c>
      <c r="C336" s="19" t="s">
        <v>761</v>
      </c>
      <c r="D336" s="19"/>
      <c r="E336" s="20">
        <f>E337</f>
        <v>501.6</v>
      </c>
      <c r="F336" s="20">
        <f t="shared" ref="F336:G336" si="113">F337</f>
        <v>0</v>
      </c>
      <c r="G336" s="20">
        <f t="shared" si="113"/>
        <v>0</v>
      </c>
    </row>
    <row r="337" spans="1:7" ht="31.5" outlineLevel="2" x14ac:dyDescent="0.25">
      <c r="A337" s="23" t="s">
        <v>76</v>
      </c>
      <c r="B337" s="19" t="s">
        <v>53</v>
      </c>
      <c r="C337" s="19" t="s">
        <v>761</v>
      </c>
      <c r="D337" s="19" t="s">
        <v>39</v>
      </c>
      <c r="E337" s="20">
        <v>501.6</v>
      </c>
      <c r="F337" s="20">
        <v>0</v>
      </c>
      <c r="G337" s="20">
        <v>0</v>
      </c>
    </row>
    <row r="338" spans="1:7" ht="31.5" outlineLevel="2" x14ac:dyDescent="0.25">
      <c r="A338" s="23" t="s">
        <v>797</v>
      </c>
      <c r="B338" s="19" t="s">
        <v>53</v>
      </c>
      <c r="C338" s="19" t="s">
        <v>798</v>
      </c>
      <c r="D338" s="19"/>
      <c r="E338" s="20">
        <f>+E339</f>
        <v>540.9</v>
      </c>
      <c r="F338" s="20">
        <f t="shared" ref="F338:G338" si="114">+F339</f>
        <v>0</v>
      </c>
      <c r="G338" s="20">
        <f t="shared" si="114"/>
        <v>0</v>
      </c>
    </row>
    <row r="339" spans="1:7" ht="31.5" outlineLevel="2" x14ac:dyDescent="0.25">
      <c r="A339" s="23" t="s">
        <v>76</v>
      </c>
      <c r="B339" s="19" t="s">
        <v>53</v>
      </c>
      <c r="C339" s="19" t="s">
        <v>798</v>
      </c>
      <c r="D339" s="19">
        <v>200</v>
      </c>
      <c r="E339" s="20">
        <v>540.9</v>
      </c>
      <c r="F339" s="20">
        <v>0</v>
      </c>
      <c r="G339" s="20">
        <v>0</v>
      </c>
    </row>
    <row r="340" spans="1:7" ht="31.5" outlineLevel="2" x14ac:dyDescent="0.25">
      <c r="A340" s="30" t="s">
        <v>696</v>
      </c>
      <c r="B340" s="19" t="s">
        <v>53</v>
      </c>
      <c r="C340" s="19" t="s">
        <v>697</v>
      </c>
      <c r="D340" s="19"/>
      <c r="E340" s="20">
        <f t="shared" ref="E340:G340" si="115">E341</f>
        <v>7800</v>
      </c>
      <c r="F340" s="20">
        <f t="shared" si="115"/>
        <v>0</v>
      </c>
      <c r="G340" s="20">
        <f t="shared" si="115"/>
        <v>0</v>
      </c>
    </row>
    <row r="341" spans="1:7" outlineLevel="2" x14ac:dyDescent="0.25">
      <c r="A341" s="30" t="s">
        <v>33</v>
      </c>
      <c r="B341" s="19" t="s">
        <v>53</v>
      </c>
      <c r="C341" s="19" t="s">
        <v>697</v>
      </c>
      <c r="D341" s="19" t="s">
        <v>529</v>
      </c>
      <c r="E341" s="20">
        <v>7800</v>
      </c>
      <c r="F341" s="20">
        <v>0</v>
      </c>
      <c r="G341" s="20">
        <v>0</v>
      </c>
    </row>
    <row r="342" spans="1:7" outlineLevel="2" x14ac:dyDescent="0.25">
      <c r="A342" s="33" t="s">
        <v>144</v>
      </c>
      <c r="B342" s="31" t="s">
        <v>53</v>
      </c>
      <c r="C342" s="31" t="s">
        <v>83</v>
      </c>
      <c r="D342" s="2"/>
      <c r="E342" s="20">
        <f>E343+E346</f>
        <v>16612.099999999999</v>
      </c>
      <c r="F342" s="20">
        <f t="shared" ref="F342:G342" si="116">F343+F346</f>
        <v>17859.3</v>
      </c>
      <c r="G342" s="20">
        <f t="shared" si="116"/>
        <v>17859.3</v>
      </c>
    </row>
    <row r="343" spans="1:7" ht="47.25" outlineLevel="2" x14ac:dyDescent="0.25">
      <c r="A343" s="33" t="s">
        <v>383</v>
      </c>
      <c r="B343" s="31" t="s">
        <v>53</v>
      </c>
      <c r="C343" s="31" t="s">
        <v>384</v>
      </c>
      <c r="D343" s="2"/>
      <c r="E343" s="20">
        <f>E344</f>
        <v>3112.1000000000004</v>
      </c>
      <c r="F343" s="20">
        <f t="shared" ref="F343:G344" si="117">F344</f>
        <v>4359.3</v>
      </c>
      <c r="G343" s="20">
        <f t="shared" si="117"/>
        <v>4359.3</v>
      </c>
    </row>
    <row r="344" spans="1:7" ht="78.75" outlineLevel="2" x14ac:dyDescent="0.25">
      <c r="A344" s="33" t="s">
        <v>385</v>
      </c>
      <c r="B344" s="31" t="s">
        <v>53</v>
      </c>
      <c r="C344" s="31" t="s">
        <v>386</v>
      </c>
      <c r="D344" s="2"/>
      <c r="E344" s="20">
        <f>E345</f>
        <v>3112.1000000000004</v>
      </c>
      <c r="F344" s="20">
        <f t="shared" si="117"/>
        <v>4359.3</v>
      </c>
      <c r="G344" s="20">
        <f t="shared" si="117"/>
        <v>4359.3</v>
      </c>
    </row>
    <row r="345" spans="1:7" outlineLevel="2" x14ac:dyDescent="0.25">
      <c r="A345" s="42" t="s">
        <v>33</v>
      </c>
      <c r="B345" s="24" t="s">
        <v>53</v>
      </c>
      <c r="C345" s="2" t="s">
        <v>386</v>
      </c>
      <c r="D345" s="25">
        <v>800</v>
      </c>
      <c r="E345" s="20">
        <f>4359.3-1247.2</f>
        <v>3112.1000000000004</v>
      </c>
      <c r="F345" s="20">
        <v>4359.3</v>
      </c>
      <c r="G345" s="20">
        <v>4359.3</v>
      </c>
    </row>
    <row r="346" spans="1:7" ht="78.75" outlineLevel="2" x14ac:dyDescent="0.25">
      <c r="A346" s="18" t="s">
        <v>510</v>
      </c>
      <c r="B346" s="31" t="s">
        <v>53</v>
      </c>
      <c r="C346" s="31" t="s">
        <v>404</v>
      </c>
      <c r="D346" s="25"/>
      <c r="E346" s="20">
        <f>E347</f>
        <v>13500</v>
      </c>
      <c r="F346" s="20">
        <f t="shared" ref="F346:G347" si="118">F347</f>
        <v>13500</v>
      </c>
      <c r="G346" s="20">
        <f t="shared" si="118"/>
        <v>13500</v>
      </c>
    </row>
    <row r="347" spans="1:7" ht="78.75" outlineLevel="2" x14ac:dyDescent="0.25">
      <c r="A347" s="42" t="s">
        <v>405</v>
      </c>
      <c r="B347" s="24" t="s">
        <v>53</v>
      </c>
      <c r="C347" s="24" t="s">
        <v>507</v>
      </c>
      <c r="D347" s="25"/>
      <c r="E347" s="20">
        <f>E348</f>
        <v>13500</v>
      </c>
      <c r="F347" s="20">
        <f t="shared" si="118"/>
        <v>13500</v>
      </c>
      <c r="G347" s="20">
        <f t="shared" si="118"/>
        <v>13500</v>
      </c>
    </row>
    <row r="348" spans="1:7" ht="31.5" outlineLevel="2" x14ac:dyDescent="0.25">
      <c r="A348" s="42" t="s">
        <v>76</v>
      </c>
      <c r="B348" s="24" t="s">
        <v>53</v>
      </c>
      <c r="C348" s="24" t="s">
        <v>507</v>
      </c>
      <c r="D348" s="25">
        <v>200</v>
      </c>
      <c r="E348" s="20">
        <v>13500</v>
      </c>
      <c r="F348" s="20">
        <v>13500</v>
      </c>
      <c r="G348" s="20">
        <v>13500</v>
      </c>
    </row>
    <row r="349" spans="1:7" outlineLevel="1" x14ac:dyDescent="0.25">
      <c r="A349" s="34" t="s">
        <v>55</v>
      </c>
      <c r="B349" s="24" t="s">
        <v>56</v>
      </c>
      <c r="C349" s="24"/>
      <c r="D349" s="2"/>
      <c r="E349" s="20">
        <f>E353+E350</f>
        <v>3358104.6000000006</v>
      </c>
      <c r="F349" s="20">
        <f t="shared" ref="F349:G349" si="119">F353+F350</f>
        <v>4231824.0000000009</v>
      </c>
      <c r="G349" s="20">
        <f t="shared" si="119"/>
        <v>4063760</v>
      </c>
    </row>
    <row r="350" spans="1:7" outlineLevel="2" x14ac:dyDescent="0.25">
      <c r="A350" s="34" t="s">
        <v>9</v>
      </c>
      <c r="B350" s="24" t="s">
        <v>56</v>
      </c>
      <c r="C350" s="24" t="s">
        <v>10</v>
      </c>
      <c r="D350" s="24"/>
      <c r="E350" s="20">
        <f>+E351</f>
        <v>9837</v>
      </c>
      <c r="F350" s="20">
        <f>+F351</f>
        <v>0</v>
      </c>
      <c r="G350" s="20">
        <f>+G351</f>
        <v>0</v>
      </c>
    </row>
    <row r="351" spans="1:7" ht="31.5" outlineLevel="2" x14ac:dyDescent="0.25">
      <c r="A351" s="34" t="s">
        <v>65</v>
      </c>
      <c r="B351" s="24" t="s">
        <v>56</v>
      </c>
      <c r="C351" s="24" t="s">
        <v>66</v>
      </c>
      <c r="D351" s="24"/>
      <c r="E351" s="20">
        <f>+E352</f>
        <v>9837</v>
      </c>
      <c r="F351" s="20">
        <f t="shared" ref="F351:G351" si="120">+F352</f>
        <v>0</v>
      </c>
      <c r="G351" s="20">
        <f t="shared" si="120"/>
        <v>0</v>
      </c>
    </row>
    <row r="352" spans="1:7" ht="31.5" outlineLevel="2" x14ac:dyDescent="0.25">
      <c r="A352" s="23" t="s">
        <v>76</v>
      </c>
      <c r="B352" s="24" t="s">
        <v>56</v>
      </c>
      <c r="C352" s="24" t="s">
        <v>66</v>
      </c>
      <c r="D352" s="24" t="s">
        <v>39</v>
      </c>
      <c r="E352" s="20">
        <v>9837</v>
      </c>
      <c r="F352" s="20">
        <v>0</v>
      </c>
      <c r="G352" s="20">
        <v>0</v>
      </c>
    </row>
    <row r="353" spans="1:7" ht="78.75" outlineLevel="2" x14ac:dyDescent="0.25">
      <c r="A353" s="34" t="s">
        <v>347</v>
      </c>
      <c r="B353" s="24" t="s">
        <v>56</v>
      </c>
      <c r="C353" s="24" t="s">
        <v>54</v>
      </c>
      <c r="D353" s="2"/>
      <c r="E353" s="20">
        <f>E358+E483+E354</f>
        <v>3348267.6000000006</v>
      </c>
      <c r="F353" s="20">
        <f>F358+F483+F354</f>
        <v>4231824.0000000009</v>
      </c>
      <c r="G353" s="20">
        <f>G358+G483+G354</f>
        <v>4063760</v>
      </c>
    </row>
    <row r="354" spans="1:7" outlineLevel="2" x14ac:dyDescent="0.25">
      <c r="A354" s="23" t="s">
        <v>228</v>
      </c>
      <c r="B354" s="19" t="s">
        <v>56</v>
      </c>
      <c r="C354" s="19" t="s">
        <v>603</v>
      </c>
      <c r="D354" s="19"/>
      <c r="E354" s="20">
        <f>E355</f>
        <v>399741.2</v>
      </c>
      <c r="F354" s="20">
        <f t="shared" ref="F354:G356" si="121">F355</f>
        <v>434566</v>
      </c>
      <c r="G354" s="20">
        <f t="shared" si="121"/>
        <v>540837.30000000005</v>
      </c>
    </row>
    <row r="355" spans="1:7" ht="47.25" outlineLevel="2" x14ac:dyDescent="0.25">
      <c r="A355" s="23" t="s">
        <v>601</v>
      </c>
      <c r="B355" s="19" t="s">
        <v>56</v>
      </c>
      <c r="C355" s="19" t="s">
        <v>604</v>
      </c>
      <c r="D355" s="19"/>
      <c r="E355" s="20">
        <f t="shared" ref="E355:E356" si="122">E356</f>
        <v>399741.2</v>
      </c>
      <c r="F355" s="20">
        <f t="shared" si="121"/>
        <v>434566</v>
      </c>
      <c r="G355" s="20">
        <f t="shared" si="121"/>
        <v>540837.30000000005</v>
      </c>
    </row>
    <row r="356" spans="1:7" ht="31.5" outlineLevel="2" x14ac:dyDescent="0.25">
      <c r="A356" s="23" t="s">
        <v>602</v>
      </c>
      <c r="B356" s="19" t="s">
        <v>56</v>
      </c>
      <c r="C356" s="19" t="s">
        <v>605</v>
      </c>
      <c r="D356" s="19"/>
      <c r="E356" s="20">
        <f t="shared" si="122"/>
        <v>399741.2</v>
      </c>
      <c r="F356" s="20">
        <f t="shared" si="121"/>
        <v>434566</v>
      </c>
      <c r="G356" s="20">
        <f t="shared" si="121"/>
        <v>540837.30000000005</v>
      </c>
    </row>
    <row r="357" spans="1:7" ht="47.25" outlineLevel="2" x14ac:dyDescent="0.25">
      <c r="A357" s="23" t="s">
        <v>310</v>
      </c>
      <c r="B357" s="19" t="s">
        <v>56</v>
      </c>
      <c r="C357" s="19" t="s">
        <v>605</v>
      </c>
      <c r="D357" s="19" t="s">
        <v>464</v>
      </c>
      <c r="E357" s="20">
        <v>399741.2</v>
      </c>
      <c r="F357" s="20">
        <v>434566</v>
      </c>
      <c r="G357" s="20">
        <v>540837.30000000005</v>
      </c>
    </row>
    <row r="358" spans="1:7" ht="31.5" outlineLevel="2" x14ac:dyDescent="0.25">
      <c r="A358" s="33" t="s">
        <v>155</v>
      </c>
      <c r="B358" s="31" t="s">
        <v>56</v>
      </c>
      <c r="C358" s="31" t="s">
        <v>348</v>
      </c>
      <c r="D358" s="2"/>
      <c r="E358" s="20">
        <f>E359+E480</f>
        <v>2497367.3000000003</v>
      </c>
      <c r="F358" s="20">
        <f>F359</f>
        <v>3325445.7000000007</v>
      </c>
      <c r="G358" s="20">
        <f>G359</f>
        <v>3029433.2</v>
      </c>
    </row>
    <row r="359" spans="1:7" ht="47.25" outlineLevel="2" x14ac:dyDescent="0.25">
      <c r="A359" s="33" t="s">
        <v>635</v>
      </c>
      <c r="B359" s="24" t="s">
        <v>56</v>
      </c>
      <c r="C359" s="24" t="s">
        <v>353</v>
      </c>
      <c r="D359" s="2"/>
      <c r="E359" s="20">
        <f>E360+E362+E365+E367+E396+E404+E406+E408+E410+E380+E394+E412+E414+E416+E418+E420+E392+E422+E424+E426+E428+E430+E432+E434+E436+E438+E440+E442+E444+E452+E446+E448+E450+E371+E373+E375+E382+E388+E398+E400+E402+E456+E458+E460+E464+E466+E470+E472+E474+E476+E478+E454+E462+E468+E369+E377</f>
        <v>2480032.6</v>
      </c>
      <c r="F359" s="20">
        <f>F360+F362+F365+F367+F396+F404+F406+F408+F410+F380+F394+F412+F414+F416+F418+F420+F392+F422+F424+F426+F428+F430+F432+F434+F436+F438+F440+F442+F444+F452+F446+F448+F450+F371+F373+F375+F382+F388+F398+F400+F402+F456+F458+F460+F464+F466+F470+F472+F474+F476+F478+F454+F462+F468+F369+F377+F384+F386+F390</f>
        <v>3325445.7000000007</v>
      </c>
      <c r="G359" s="20">
        <f>G360+G362+G365+G367+G396+G404+G406+G408+G410+G380+G394+G412+G414+G416+G418+G420+G392+G422+G424+G426+G428+G430+G432+G434+G436+G438+G440+G442+G444+G452+G446+G448+G450+G371+G373+G375+G382+G388+G398+G400+G402+G456+G458+G460+G464+G466+G470+G472+G474+G476+G478+G454+G462+G468+G369+G377+G384+G386+G390</f>
        <v>3029433.2</v>
      </c>
    </row>
    <row r="360" spans="1:7" ht="63" outlineLevel="2" x14ac:dyDescent="0.25">
      <c r="A360" s="38" t="s">
        <v>354</v>
      </c>
      <c r="B360" s="24" t="s">
        <v>56</v>
      </c>
      <c r="C360" s="24" t="s">
        <v>355</v>
      </c>
      <c r="D360" s="2"/>
      <c r="E360" s="20">
        <f>E361</f>
        <v>12386.9</v>
      </c>
      <c r="F360" s="20">
        <f t="shared" ref="F360:G360" si="123">F361</f>
        <v>0</v>
      </c>
      <c r="G360" s="20">
        <f t="shared" si="123"/>
        <v>0</v>
      </c>
    </row>
    <row r="361" spans="1:7" ht="47.25" outlineLevel="2" x14ac:dyDescent="0.25">
      <c r="A361" s="38" t="s">
        <v>310</v>
      </c>
      <c r="B361" s="24" t="s">
        <v>56</v>
      </c>
      <c r="C361" s="24" t="s">
        <v>355</v>
      </c>
      <c r="D361" s="2">
        <v>400</v>
      </c>
      <c r="E361" s="20">
        <v>12386.9</v>
      </c>
      <c r="F361" s="20">
        <v>0</v>
      </c>
      <c r="G361" s="20">
        <v>0</v>
      </c>
    </row>
    <row r="362" spans="1:7" ht="94.5" outlineLevel="2" x14ac:dyDescent="0.25">
      <c r="A362" s="38" t="s">
        <v>494</v>
      </c>
      <c r="B362" s="24" t="s">
        <v>56</v>
      </c>
      <c r="C362" s="24" t="s">
        <v>356</v>
      </c>
      <c r="D362" s="2"/>
      <c r="E362" s="20">
        <f>E364+E363</f>
        <v>8067.5</v>
      </c>
      <c r="F362" s="20">
        <f t="shared" ref="F362:G362" si="124">F364+F363</f>
        <v>0</v>
      </c>
      <c r="G362" s="20">
        <f t="shared" si="124"/>
        <v>0</v>
      </c>
    </row>
    <row r="363" spans="1:7" ht="31.5" outlineLevel="2" x14ac:dyDescent="0.25">
      <c r="A363" s="23" t="s">
        <v>76</v>
      </c>
      <c r="B363" s="19" t="s">
        <v>56</v>
      </c>
      <c r="C363" s="19" t="s">
        <v>356</v>
      </c>
      <c r="D363" s="19" t="s">
        <v>39</v>
      </c>
      <c r="E363" s="20">
        <v>0.2</v>
      </c>
      <c r="F363" s="20">
        <v>0</v>
      </c>
      <c r="G363" s="20">
        <v>0</v>
      </c>
    </row>
    <row r="364" spans="1:7" ht="47.25" outlineLevel="2" x14ac:dyDescent="0.25">
      <c r="A364" s="38" t="s">
        <v>310</v>
      </c>
      <c r="B364" s="24" t="s">
        <v>56</v>
      </c>
      <c r="C364" s="24" t="s">
        <v>356</v>
      </c>
      <c r="D364" s="2">
        <v>400</v>
      </c>
      <c r="E364" s="20">
        <f>8067.5-0.2</f>
        <v>8067.3</v>
      </c>
      <c r="F364" s="20">
        <v>0</v>
      </c>
      <c r="G364" s="20">
        <v>0</v>
      </c>
    </row>
    <row r="365" spans="1:7" ht="31.5" outlineLevel="2" x14ac:dyDescent="0.25">
      <c r="A365" s="38" t="s">
        <v>357</v>
      </c>
      <c r="B365" s="24" t="s">
        <v>56</v>
      </c>
      <c r="C365" s="24" t="s">
        <v>358</v>
      </c>
      <c r="D365" s="2"/>
      <c r="E365" s="20">
        <f>E366</f>
        <v>14587.8</v>
      </c>
      <c r="F365" s="20">
        <f t="shared" ref="F365:G365" si="125">F366</f>
        <v>0</v>
      </c>
      <c r="G365" s="20">
        <f t="shared" si="125"/>
        <v>0</v>
      </c>
    </row>
    <row r="366" spans="1:7" ht="31.5" outlineLevel="2" x14ac:dyDescent="0.25">
      <c r="A366" s="33" t="s">
        <v>76</v>
      </c>
      <c r="B366" s="24" t="s">
        <v>56</v>
      </c>
      <c r="C366" s="24" t="s">
        <v>358</v>
      </c>
      <c r="D366" s="2">
        <v>200</v>
      </c>
      <c r="E366" s="20">
        <v>14587.8</v>
      </c>
      <c r="F366" s="20">
        <v>0</v>
      </c>
      <c r="G366" s="20">
        <v>0</v>
      </c>
    </row>
    <row r="367" spans="1:7" ht="31.5" outlineLevel="2" x14ac:dyDescent="0.25">
      <c r="A367" s="38" t="s">
        <v>359</v>
      </c>
      <c r="B367" s="24" t="s">
        <v>56</v>
      </c>
      <c r="C367" s="24" t="s">
        <v>360</v>
      </c>
      <c r="D367" s="2"/>
      <c r="E367" s="20">
        <f>E368</f>
        <v>200</v>
      </c>
      <c r="F367" s="20">
        <f t="shared" ref="F367:G367" si="126">F368</f>
        <v>0</v>
      </c>
      <c r="G367" s="20">
        <f t="shared" si="126"/>
        <v>0</v>
      </c>
    </row>
    <row r="368" spans="1:7" ht="47.25" outlineLevel="2" x14ac:dyDescent="0.25">
      <c r="A368" s="38" t="s">
        <v>310</v>
      </c>
      <c r="B368" s="24" t="s">
        <v>56</v>
      </c>
      <c r="C368" s="24" t="s">
        <v>360</v>
      </c>
      <c r="D368" s="2">
        <v>400</v>
      </c>
      <c r="E368" s="20">
        <v>200</v>
      </c>
      <c r="F368" s="20">
        <v>0</v>
      </c>
      <c r="G368" s="20">
        <v>0</v>
      </c>
    </row>
    <row r="369" spans="1:7" ht="47.25" outlineLevel="2" x14ac:dyDescent="0.25">
      <c r="A369" s="34" t="s">
        <v>842</v>
      </c>
      <c r="B369" s="19" t="s">
        <v>56</v>
      </c>
      <c r="C369" s="19" t="s">
        <v>843</v>
      </c>
      <c r="D369" s="19"/>
      <c r="E369" s="20">
        <f>+E370</f>
        <v>360</v>
      </c>
      <c r="F369" s="20">
        <f t="shared" ref="F369:G369" si="127">+F370</f>
        <v>0</v>
      </c>
      <c r="G369" s="20">
        <f t="shared" si="127"/>
        <v>0</v>
      </c>
    </row>
    <row r="370" spans="1:7" ht="31.5" outlineLevel="2" x14ac:dyDescent="0.25">
      <c r="A370" s="34" t="s">
        <v>76</v>
      </c>
      <c r="B370" s="19" t="s">
        <v>56</v>
      </c>
      <c r="C370" s="19" t="s">
        <v>843</v>
      </c>
      <c r="D370" s="19" t="s">
        <v>39</v>
      </c>
      <c r="E370" s="20">
        <v>360</v>
      </c>
      <c r="F370" s="20">
        <v>0</v>
      </c>
      <c r="G370" s="20">
        <v>0</v>
      </c>
    </row>
    <row r="371" spans="1:7" ht="94.5" outlineLevel="2" x14ac:dyDescent="0.25">
      <c r="A371" s="48" t="s">
        <v>783</v>
      </c>
      <c r="B371" s="19" t="s">
        <v>56</v>
      </c>
      <c r="C371" s="19" t="s">
        <v>786</v>
      </c>
      <c r="D371" s="19"/>
      <c r="E371" s="20">
        <f>+E372</f>
        <v>107.89999999999998</v>
      </c>
      <c r="F371" s="20">
        <f t="shared" ref="F371:G371" si="128">+F372</f>
        <v>0</v>
      </c>
      <c r="G371" s="20">
        <f t="shared" si="128"/>
        <v>0</v>
      </c>
    </row>
    <row r="372" spans="1:7" ht="31.5" outlineLevel="2" x14ac:dyDescent="0.25">
      <c r="A372" s="23" t="s">
        <v>76</v>
      </c>
      <c r="B372" s="19" t="s">
        <v>56</v>
      </c>
      <c r="C372" s="19" t="s">
        <v>786</v>
      </c>
      <c r="D372" s="19" t="s">
        <v>39</v>
      </c>
      <c r="E372" s="20">
        <f>550-442.1</f>
        <v>107.89999999999998</v>
      </c>
      <c r="F372" s="20">
        <v>0</v>
      </c>
      <c r="G372" s="20">
        <v>0</v>
      </c>
    </row>
    <row r="373" spans="1:7" ht="78.75" outlineLevel="2" x14ac:dyDescent="0.25">
      <c r="A373" s="48" t="s">
        <v>784</v>
      </c>
      <c r="B373" s="19" t="s">
        <v>56</v>
      </c>
      <c r="C373" s="19" t="s">
        <v>787</v>
      </c>
      <c r="D373" s="19"/>
      <c r="E373" s="20">
        <f>+E374</f>
        <v>11.6</v>
      </c>
      <c r="F373" s="20">
        <f t="shared" ref="F373:G373" si="129">+F374</f>
        <v>0</v>
      </c>
      <c r="G373" s="20">
        <f t="shared" si="129"/>
        <v>0</v>
      </c>
    </row>
    <row r="374" spans="1:7" ht="31.5" outlineLevel="2" x14ac:dyDescent="0.25">
      <c r="A374" s="23" t="s">
        <v>76</v>
      </c>
      <c r="B374" s="19" t="s">
        <v>56</v>
      </c>
      <c r="C374" s="19" t="s">
        <v>787</v>
      </c>
      <c r="D374" s="19" t="s">
        <v>39</v>
      </c>
      <c r="E374" s="20">
        <f>11.1+0.5</f>
        <v>11.6</v>
      </c>
      <c r="F374" s="20">
        <v>0</v>
      </c>
      <c r="G374" s="20">
        <v>0</v>
      </c>
    </row>
    <row r="375" spans="1:7" ht="78.75" outlineLevel="2" x14ac:dyDescent="0.25">
      <c r="A375" s="48" t="s">
        <v>785</v>
      </c>
      <c r="B375" s="19" t="s">
        <v>56</v>
      </c>
      <c r="C375" s="19" t="s">
        <v>788</v>
      </c>
      <c r="D375" s="19"/>
      <c r="E375" s="20">
        <f>+E376</f>
        <v>1114.0999999999999</v>
      </c>
      <c r="F375" s="20">
        <f t="shared" ref="F375:G375" si="130">+F376</f>
        <v>0</v>
      </c>
      <c r="G375" s="20">
        <f t="shared" si="130"/>
        <v>0</v>
      </c>
    </row>
    <row r="376" spans="1:7" ht="31.5" outlineLevel="2" x14ac:dyDescent="0.25">
      <c r="A376" s="23" t="s">
        <v>76</v>
      </c>
      <c r="B376" s="19" t="s">
        <v>56</v>
      </c>
      <c r="C376" s="19" t="s">
        <v>788</v>
      </c>
      <c r="D376" s="19" t="s">
        <v>39</v>
      </c>
      <c r="E376" s="20">
        <f>775.3+338.8</f>
        <v>1114.0999999999999</v>
      </c>
      <c r="F376" s="20">
        <v>0</v>
      </c>
      <c r="G376" s="20">
        <v>0</v>
      </c>
    </row>
    <row r="377" spans="1:7" ht="78.75" outlineLevel="2" x14ac:dyDescent="0.25">
      <c r="A377" s="9" t="s">
        <v>848</v>
      </c>
      <c r="B377" s="19" t="s">
        <v>56</v>
      </c>
      <c r="C377" s="19" t="s">
        <v>849</v>
      </c>
      <c r="D377" s="19"/>
      <c r="E377" s="20">
        <f>+E378+E379</f>
        <v>15856.7</v>
      </c>
      <c r="F377" s="20">
        <f t="shared" ref="F377:G377" si="131">+F378+F379</f>
        <v>0</v>
      </c>
      <c r="G377" s="20">
        <f t="shared" si="131"/>
        <v>0</v>
      </c>
    </row>
    <row r="378" spans="1:7" ht="47.25" outlineLevel="2" x14ac:dyDescent="0.25">
      <c r="A378" s="9" t="s">
        <v>310</v>
      </c>
      <c r="B378" s="19" t="s">
        <v>56</v>
      </c>
      <c r="C378" s="19" t="s">
        <v>849</v>
      </c>
      <c r="D378" s="19" t="s">
        <v>464</v>
      </c>
      <c r="E378" s="20">
        <v>13860.7</v>
      </c>
      <c r="F378" s="20">
        <v>0</v>
      </c>
      <c r="G378" s="20">
        <v>0</v>
      </c>
    </row>
    <row r="379" spans="1:7" outlineLevel="2" x14ac:dyDescent="0.25">
      <c r="A379" s="21" t="s">
        <v>33</v>
      </c>
      <c r="B379" s="19" t="s">
        <v>56</v>
      </c>
      <c r="C379" s="19" t="s">
        <v>849</v>
      </c>
      <c r="D379" s="19" t="s">
        <v>529</v>
      </c>
      <c r="E379" s="20">
        <v>1996</v>
      </c>
      <c r="F379" s="20">
        <v>0</v>
      </c>
      <c r="G379" s="20">
        <v>0</v>
      </c>
    </row>
    <row r="380" spans="1:7" ht="63" outlineLevel="2" x14ac:dyDescent="0.25">
      <c r="A380" s="21" t="s">
        <v>387</v>
      </c>
      <c r="B380" s="24" t="s">
        <v>56</v>
      </c>
      <c r="C380" s="24" t="s">
        <v>388</v>
      </c>
      <c r="D380" s="25"/>
      <c r="E380" s="20">
        <f>E381</f>
        <v>4285.5</v>
      </c>
      <c r="F380" s="20">
        <f>F381</f>
        <v>0</v>
      </c>
      <c r="G380" s="20">
        <f>G381</f>
        <v>0</v>
      </c>
    </row>
    <row r="381" spans="1:7" ht="31.5" outlineLevel="2" x14ac:dyDescent="0.25">
      <c r="A381" s="21" t="s">
        <v>76</v>
      </c>
      <c r="B381" s="24" t="s">
        <v>56</v>
      </c>
      <c r="C381" s="24" t="s">
        <v>388</v>
      </c>
      <c r="D381" s="25">
        <v>200</v>
      </c>
      <c r="E381" s="20">
        <v>4285.5</v>
      </c>
      <c r="F381" s="20">
        <v>0</v>
      </c>
      <c r="G381" s="20">
        <v>0</v>
      </c>
    </row>
    <row r="382" spans="1:7" ht="78.75" outlineLevel="2" x14ac:dyDescent="0.25">
      <c r="A382" s="48" t="s">
        <v>802</v>
      </c>
      <c r="B382" s="19" t="s">
        <v>56</v>
      </c>
      <c r="C382" s="19" t="s">
        <v>804</v>
      </c>
      <c r="D382" s="19"/>
      <c r="E382" s="20">
        <f>+E383</f>
        <v>232700</v>
      </c>
      <c r="F382" s="20">
        <f t="shared" ref="F382:G382" si="132">+F383</f>
        <v>571400</v>
      </c>
      <c r="G382" s="20">
        <f t="shared" si="132"/>
        <v>0</v>
      </c>
    </row>
    <row r="383" spans="1:7" ht="47.25" outlineLevel="2" x14ac:dyDescent="0.25">
      <c r="A383" s="23" t="s">
        <v>310</v>
      </c>
      <c r="B383" s="19" t="s">
        <v>56</v>
      </c>
      <c r="C383" s="19" t="s">
        <v>804</v>
      </c>
      <c r="D383" s="19" t="s">
        <v>464</v>
      </c>
      <c r="E383" s="20">
        <v>232700</v>
      </c>
      <c r="F383" s="20">
        <v>571400</v>
      </c>
      <c r="G383" s="20">
        <v>0</v>
      </c>
    </row>
    <row r="384" spans="1:7" ht="94.5" outlineLevel="2" x14ac:dyDescent="0.25">
      <c r="A384" s="48" t="s">
        <v>867</v>
      </c>
      <c r="B384" s="19" t="s">
        <v>56</v>
      </c>
      <c r="C384" s="19" t="s">
        <v>869</v>
      </c>
      <c r="D384" s="19"/>
      <c r="E384" s="20">
        <f>+E385</f>
        <v>0</v>
      </c>
      <c r="F384" s="20">
        <f>+F385</f>
        <v>230000</v>
      </c>
      <c r="G384" s="20">
        <f>+G385</f>
        <v>700200</v>
      </c>
    </row>
    <row r="385" spans="1:7" outlineLevel="2" x14ac:dyDescent="0.25">
      <c r="A385" s="42" t="s">
        <v>33</v>
      </c>
      <c r="B385" s="19" t="s">
        <v>56</v>
      </c>
      <c r="C385" s="19" t="s">
        <v>869</v>
      </c>
      <c r="D385" s="19" t="s">
        <v>529</v>
      </c>
      <c r="E385" s="20">
        <v>0</v>
      </c>
      <c r="F385" s="20">
        <v>230000</v>
      </c>
      <c r="G385" s="20">
        <v>700200</v>
      </c>
    </row>
    <row r="386" spans="1:7" ht="110.25" outlineLevel="2" x14ac:dyDescent="0.25">
      <c r="A386" s="48" t="s">
        <v>868</v>
      </c>
      <c r="B386" s="19" t="s">
        <v>56</v>
      </c>
      <c r="C386" s="19" t="s">
        <v>870</v>
      </c>
      <c r="D386" s="19"/>
      <c r="E386" s="20">
        <f>+E387</f>
        <v>0</v>
      </c>
      <c r="F386" s="20">
        <f>+F387</f>
        <v>234450</v>
      </c>
      <c r="G386" s="20">
        <f>+G387</f>
        <v>588600</v>
      </c>
    </row>
    <row r="387" spans="1:7" outlineLevel="2" x14ac:dyDescent="0.25">
      <c r="A387" s="42" t="s">
        <v>33</v>
      </c>
      <c r="B387" s="19" t="s">
        <v>56</v>
      </c>
      <c r="C387" s="19" t="s">
        <v>870</v>
      </c>
      <c r="D387" s="19" t="s">
        <v>529</v>
      </c>
      <c r="E387" s="20">
        <v>0</v>
      </c>
      <c r="F387" s="20">
        <v>234450</v>
      </c>
      <c r="G387" s="20">
        <v>588600</v>
      </c>
    </row>
    <row r="388" spans="1:7" ht="110.25" outlineLevel="2" x14ac:dyDescent="0.25">
      <c r="A388" s="49" t="s">
        <v>803</v>
      </c>
      <c r="B388" s="19" t="s">
        <v>56</v>
      </c>
      <c r="C388" s="19" t="s">
        <v>805</v>
      </c>
      <c r="D388" s="19"/>
      <c r="E388" s="20">
        <f>+E389</f>
        <v>1600000</v>
      </c>
      <c r="F388" s="20">
        <f t="shared" ref="F388:G388" si="133">+F389</f>
        <v>0</v>
      </c>
      <c r="G388" s="20">
        <f t="shared" si="133"/>
        <v>0</v>
      </c>
    </row>
    <row r="389" spans="1:7" outlineLevel="2" x14ac:dyDescent="0.25">
      <c r="A389" s="23" t="s">
        <v>33</v>
      </c>
      <c r="B389" s="19" t="s">
        <v>56</v>
      </c>
      <c r="C389" s="19" t="s">
        <v>805</v>
      </c>
      <c r="D389" s="19" t="s">
        <v>529</v>
      </c>
      <c r="E389" s="20">
        <v>1600000</v>
      </c>
      <c r="F389" s="20">
        <v>0</v>
      </c>
      <c r="G389" s="20">
        <v>0</v>
      </c>
    </row>
    <row r="390" spans="1:7" ht="94.5" outlineLevel="2" x14ac:dyDescent="0.25">
      <c r="A390" s="48" t="s">
        <v>871</v>
      </c>
      <c r="B390" s="19" t="s">
        <v>56</v>
      </c>
      <c r="C390" s="19" t="s">
        <v>872</v>
      </c>
      <c r="D390" s="19"/>
      <c r="E390" s="20">
        <f>+E391</f>
        <v>0</v>
      </c>
      <c r="F390" s="20">
        <f>+F391</f>
        <v>234450</v>
      </c>
      <c r="G390" s="20">
        <f>+G391</f>
        <v>588600</v>
      </c>
    </row>
    <row r="391" spans="1:7" outlineLevel="2" x14ac:dyDescent="0.25">
      <c r="A391" s="42" t="s">
        <v>33</v>
      </c>
      <c r="B391" s="19" t="s">
        <v>56</v>
      </c>
      <c r="C391" s="19" t="s">
        <v>872</v>
      </c>
      <c r="D391" s="19" t="s">
        <v>529</v>
      </c>
      <c r="E391" s="20">
        <v>0</v>
      </c>
      <c r="F391" s="20">
        <v>234450</v>
      </c>
      <c r="G391" s="20">
        <v>588600</v>
      </c>
    </row>
    <row r="392" spans="1:7" ht="94.5" outlineLevel="2" x14ac:dyDescent="0.25">
      <c r="A392" s="23" t="s">
        <v>703</v>
      </c>
      <c r="B392" s="19" t="s">
        <v>56</v>
      </c>
      <c r="C392" s="19" t="s">
        <v>704</v>
      </c>
      <c r="D392" s="19"/>
      <c r="E392" s="20">
        <f>E393</f>
        <v>11781.3</v>
      </c>
      <c r="F392" s="20">
        <f t="shared" ref="F392:G392" si="134">F393</f>
        <v>0</v>
      </c>
      <c r="G392" s="20">
        <f t="shared" si="134"/>
        <v>0</v>
      </c>
    </row>
    <row r="393" spans="1:7" ht="47.25" outlineLevel="2" x14ac:dyDescent="0.25">
      <c r="A393" s="23" t="s">
        <v>310</v>
      </c>
      <c r="B393" s="19" t="s">
        <v>56</v>
      </c>
      <c r="C393" s="19" t="s">
        <v>704</v>
      </c>
      <c r="D393" s="19" t="s">
        <v>464</v>
      </c>
      <c r="E393" s="20">
        <f>11772.9+8.4</f>
        <v>11781.3</v>
      </c>
      <c r="F393" s="20">
        <v>0</v>
      </c>
      <c r="G393" s="20">
        <v>0</v>
      </c>
    </row>
    <row r="394" spans="1:7" ht="94.5" outlineLevel="2" x14ac:dyDescent="0.25">
      <c r="A394" s="23" t="s">
        <v>518</v>
      </c>
      <c r="B394" s="19" t="s">
        <v>56</v>
      </c>
      <c r="C394" s="19" t="s">
        <v>519</v>
      </c>
      <c r="D394" s="19"/>
      <c r="E394" s="20">
        <f>E395</f>
        <v>16313.5</v>
      </c>
      <c r="F394" s="20">
        <f t="shared" ref="F394:G394" si="135">F395</f>
        <v>0</v>
      </c>
      <c r="G394" s="20">
        <f t="shared" si="135"/>
        <v>0</v>
      </c>
    </row>
    <row r="395" spans="1:7" ht="31.5" outlineLevel="2" x14ac:dyDescent="0.25">
      <c r="A395" s="23" t="s">
        <v>76</v>
      </c>
      <c r="B395" s="19" t="s">
        <v>56</v>
      </c>
      <c r="C395" s="19" t="s">
        <v>519</v>
      </c>
      <c r="D395" s="19" t="s">
        <v>39</v>
      </c>
      <c r="E395" s="20">
        <f>16314-0.5</f>
        <v>16313.5</v>
      </c>
      <c r="F395" s="20">
        <v>0</v>
      </c>
      <c r="G395" s="20">
        <v>0</v>
      </c>
    </row>
    <row r="396" spans="1:7" ht="94.5" outlineLevel="2" x14ac:dyDescent="0.25">
      <c r="A396" s="38" t="s">
        <v>361</v>
      </c>
      <c r="B396" s="24" t="s">
        <v>56</v>
      </c>
      <c r="C396" s="2" t="s">
        <v>362</v>
      </c>
      <c r="D396" s="2"/>
      <c r="E396" s="20">
        <f>E397</f>
        <v>0</v>
      </c>
      <c r="F396" s="20">
        <f t="shared" ref="F396:G396" si="136">F397</f>
        <v>1698024.7000000002</v>
      </c>
      <c r="G396" s="20">
        <f t="shared" si="136"/>
        <v>795142.9</v>
      </c>
    </row>
    <row r="397" spans="1:7" ht="47.25" outlineLevel="2" x14ac:dyDescent="0.25">
      <c r="A397" s="38" t="s">
        <v>310</v>
      </c>
      <c r="B397" s="24" t="s">
        <v>56</v>
      </c>
      <c r="C397" s="2" t="s">
        <v>362</v>
      </c>
      <c r="D397" s="25">
        <v>400</v>
      </c>
      <c r="E397" s="20">
        <v>0</v>
      </c>
      <c r="F397" s="20">
        <v>1698024.7000000002</v>
      </c>
      <c r="G397" s="20">
        <v>795142.9</v>
      </c>
    </row>
    <row r="398" spans="1:7" ht="94.5" outlineLevel="2" x14ac:dyDescent="0.25">
      <c r="A398" s="48" t="s">
        <v>806</v>
      </c>
      <c r="B398" s="19" t="s">
        <v>56</v>
      </c>
      <c r="C398" s="19" t="s">
        <v>809</v>
      </c>
      <c r="D398" s="19"/>
      <c r="E398" s="20">
        <f>+E399</f>
        <v>26556.699999999997</v>
      </c>
      <c r="F398" s="20">
        <f t="shared" ref="F398:G398" si="137">+F399</f>
        <v>61965.599999999999</v>
      </c>
      <c r="G398" s="20">
        <f t="shared" si="137"/>
        <v>0</v>
      </c>
    </row>
    <row r="399" spans="1:7" ht="47.25" outlineLevel="2" x14ac:dyDescent="0.25">
      <c r="A399" s="23" t="s">
        <v>310</v>
      </c>
      <c r="B399" s="19" t="s">
        <v>56</v>
      </c>
      <c r="C399" s="19" t="s">
        <v>809</v>
      </c>
      <c r="D399" s="19" t="s">
        <v>464</v>
      </c>
      <c r="E399" s="20">
        <f>24930.6+1626.1</f>
        <v>26556.699999999997</v>
      </c>
      <c r="F399" s="20">
        <f>3794.2+58171.4</f>
        <v>61965.599999999999</v>
      </c>
      <c r="G399" s="20">
        <v>0</v>
      </c>
    </row>
    <row r="400" spans="1:7" ht="94.5" outlineLevel="2" x14ac:dyDescent="0.25">
      <c r="A400" s="48" t="s">
        <v>807</v>
      </c>
      <c r="B400" s="19" t="s">
        <v>56</v>
      </c>
      <c r="C400" s="19" t="s">
        <v>810</v>
      </c>
      <c r="D400" s="19"/>
      <c r="E400" s="20">
        <f>+E401</f>
        <v>22541</v>
      </c>
      <c r="F400" s="20">
        <f t="shared" ref="F400:G400" si="138">+F401</f>
        <v>52595.6</v>
      </c>
      <c r="G400" s="20">
        <f t="shared" si="138"/>
        <v>0</v>
      </c>
    </row>
    <row r="401" spans="1:7" ht="47.25" outlineLevel="2" x14ac:dyDescent="0.25">
      <c r="A401" s="23" t="s">
        <v>310</v>
      </c>
      <c r="B401" s="19" t="s">
        <v>56</v>
      </c>
      <c r="C401" s="19" t="s">
        <v>810</v>
      </c>
      <c r="D401" s="19" t="s">
        <v>464</v>
      </c>
      <c r="E401" s="20">
        <f>21160.8+1380.2</f>
        <v>22541</v>
      </c>
      <c r="F401" s="20">
        <f>3220.4+49375.2</f>
        <v>52595.6</v>
      </c>
      <c r="G401" s="20">
        <v>0</v>
      </c>
    </row>
    <row r="402" spans="1:7" ht="94.5" outlineLevel="2" x14ac:dyDescent="0.25">
      <c r="A402" s="48" t="s">
        <v>808</v>
      </c>
      <c r="B402" s="19" t="s">
        <v>56</v>
      </c>
      <c r="C402" s="19" t="s">
        <v>811</v>
      </c>
      <c r="D402" s="19"/>
      <c r="E402" s="20">
        <f>+E403</f>
        <v>26479.8</v>
      </c>
      <c r="F402" s="20">
        <f t="shared" ref="F402:G402" si="139">+F403</f>
        <v>61786.2</v>
      </c>
      <c r="G402" s="20">
        <f t="shared" si="139"/>
        <v>0</v>
      </c>
    </row>
    <row r="403" spans="1:7" ht="47.25" outlineLevel="2" x14ac:dyDescent="0.25">
      <c r="A403" s="23" t="s">
        <v>310</v>
      </c>
      <c r="B403" s="19" t="s">
        <v>56</v>
      </c>
      <c r="C403" s="19" t="s">
        <v>811</v>
      </c>
      <c r="D403" s="19" t="s">
        <v>464</v>
      </c>
      <c r="E403" s="20">
        <f>24858.5+1621.3</f>
        <v>26479.8</v>
      </c>
      <c r="F403" s="20">
        <f>3783.1+58003.1</f>
        <v>61786.2</v>
      </c>
      <c r="G403" s="20">
        <v>0</v>
      </c>
    </row>
    <row r="404" spans="1:7" ht="31.5" outlineLevel="2" x14ac:dyDescent="0.25">
      <c r="A404" s="50" t="s">
        <v>363</v>
      </c>
      <c r="B404" s="24" t="s">
        <v>56</v>
      </c>
      <c r="C404" s="2" t="s">
        <v>364</v>
      </c>
      <c r="D404" s="2"/>
      <c r="E404" s="20">
        <f>E405</f>
        <v>9580.1000000000022</v>
      </c>
      <c r="F404" s="20">
        <f t="shared" ref="F404:G404" si="140">F405</f>
        <v>131169.5</v>
      </c>
      <c r="G404" s="20">
        <f t="shared" si="140"/>
        <v>356890.30000000005</v>
      </c>
    </row>
    <row r="405" spans="1:7" ht="31.5" outlineLevel="2" x14ac:dyDescent="0.25">
      <c r="A405" s="33" t="s">
        <v>76</v>
      </c>
      <c r="B405" s="24" t="s">
        <v>56</v>
      </c>
      <c r="C405" s="2" t="s">
        <v>364</v>
      </c>
      <c r="D405" s="2">
        <v>200</v>
      </c>
      <c r="E405" s="20">
        <f>35728.4-25425.5-722.8</f>
        <v>9580.1000000000022</v>
      </c>
      <c r="F405" s="20">
        <f>307286.2-10567-165549.7</f>
        <v>131169.5</v>
      </c>
      <c r="G405" s="20">
        <v>356890.30000000005</v>
      </c>
    </row>
    <row r="406" spans="1:7" ht="126" outlineLevel="2" x14ac:dyDescent="0.25">
      <c r="A406" s="50" t="s">
        <v>482</v>
      </c>
      <c r="B406" s="24" t="s">
        <v>56</v>
      </c>
      <c r="C406" s="2" t="s">
        <v>365</v>
      </c>
      <c r="D406" s="2"/>
      <c r="E406" s="20">
        <f>E407</f>
        <v>53901.7</v>
      </c>
      <c r="F406" s="20">
        <f t="shared" ref="F406:G406" si="141">F407</f>
        <v>0</v>
      </c>
      <c r="G406" s="20">
        <f t="shared" si="141"/>
        <v>0</v>
      </c>
    </row>
    <row r="407" spans="1:7" ht="47.25" outlineLevel="2" x14ac:dyDescent="0.25">
      <c r="A407" s="38" t="s">
        <v>310</v>
      </c>
      <c r="B407" s="24" t="s">
        <v>56</v>
      </c>
      <c r="C407" s="2" t="s">
        <v>365</v>
      </c>
      <c r="D407" s="2">
        <v>400</v>
      </c>
      <c r="E407" s="20">
        <f>43107.4+10146.6+647.7</f>
        <v>53901.7</v>
      </c>
      <c r="F407" s="20">
        <v>0</v>
      </c>
      <c r="G407" s="20">
        <v>0</v>
      </c>
    </row>
    <row r="408" spans="1:7" ht="63" outlineLevel="2" x14ac:dyDescent="0.25">
      <c r="A408" s="50" t="s">
        <v>366</v>
      </c>
      <c r="B408" s="24" t="s">
        <v>56</v>
      </c>
      <c r="C408" s="2" t="s">
        <v>367</v>
      </c>
      <c r="D408" s="2"/>
      <c r="E408" s="20">
        <f>E409</f>
        <v>18250</v>
      </c>
      <c r="F408" s="20">
        <f t="shared" ref="F408:G408" si="142">F409</f>
        <v>0</v>
      </c>
      <c r="G408" s="20">
        <f t="shared" si="142"/>
        <v>0</v>
      </c>
    </row>
    <row r="409" spans="1:7" ht="31.5" outlineLevel="2" x14ac:dyDescent="0.25">
      <c r="A409" s="33" t="s">
        <v>76</v>
      </c>
      <c r="B409" s="24" t="s">
        <v>56</v>
      </c>
      <c r="C409" s="2" t="s">
        <v>367</v>
      </c>
      <c r="D409" s="2">
        <v>200</v>
      </c>
      <c r="E409" s="20">
        <v>18250</v>
      </c>
      <c r="F409" s="20">
        <v>0</v>
      </c>
      <c r="G409" s="20">
        <v>0</v>
      </c>
    </row>
    <row r="410" spans="1:7" ht="63" outlineLevel="2" x14ac:dyDescent="0.25">
      <c r="A410" s="50" t="s">
        <v>368</v>
      </c>
      <c r="B410" s="24" t="s">
        <v>56</v>
      </c>
      <c r="C410" s="2" t="s">
        <v>369</v>
      </c>
      <c r="D410" s="2"/>
      <c r="E410" s="20">
        <f>E411</f>
        <v>46214.2</v>
      </c>
      <c r="F410" s="20">
        <f t="shared" ref="F410:G410" si="143">F411</f>
        <v>0</v>
      </c>
      <c r="G410" s="20">
        <f t="shared" si="143"/>
        <v>0</v>
      </c>
    </row>
    <row r="411" spans="1:7" ht="31.5" outlineLevel="2" x14ac:dyDescent="0.25">
      <c r="A411" s="33" t="s">
        <v>76</v>
      </c>
      <c r="B411" s="24" t="s">
        <v>56</v>
      </c>
      <c r="C411" s="2" t="s">
        <v>369</v>
      </c>
      <c r="D411" s="2">
        <v>200</v>
      </c>
      <c r="E411" s="20">
        <v>46214.2</v>
      </c>
      <c r="F411" s="20">
        <v>0</v>
      </c>
      <c r="G411" s="20">
        <v>0</v>
      </c>
    </row>
    <row r="412" spans="1:7" ht="94.5" outlineLevel="2" x14ac:dyDescent="0.25">
      <c r="A412" s="23" t="s">
        <v>575</v>
      </c>
      <c r="B412" s="19" t="s">
        <v>56</v>
      </c>
      <c r="C412" s="19" t="s">
        <v>577</v>
      </c>
      <c r="D412" s="19"/>
      <c r="E412" s="20">
        <f>E413</f>
        <v>15874.6</v>
      </c>
      <c r="F412" s="20">
        <f t="shared" ref="F412:G412" si="144">F413</f>
        <v>0</v>
      </c>
      <c r="G412" s="20">
        <f t="shared" si="144"/>
        <v>0</v>
      </c>
    </row>
    <row r="413" spans="1:7" ht="47.25" outlineLevel="2" x14ac:dyDescent="0.25">
      <c r="A413" s="23" t="s">
        <v>310</v>
      </c>
      <c r="B413" s="19" t="s">
        <v>56</v>
      </c>
      <c r="C413" s="19" t="s">
        <v>577</v>
      </c>
      <c r="D413" s="19" t="s">
        <v>464</v>
      </c>
      <c r="E413" s="20">
        <v>15874.6</v>
      </c>
      <c r="F413" s="20">
        <v>0</v>
      </c>
      <c r="G413" s="20">
        <v>0</v>
      </c>
    </row>
    <row r="414" spans="1:7" ht="63" outlineLevel="2" x14ac:dyDescent="0.25">
      <c r="A414" s="23" t="s">
        <v>576</v>
      </c>
      <c r="B414" s="19" t="s">
        <v>56</v>
      </c>
      <c r="C414" s="19" t="s">
        <v>578</v>
      </c>
      <c r="D414" s="19"/>
      <c r="E414" s="20">
        <f>E415</f>
        <v>7339</v>
      </c>
      <c r="F414" s="20">
        <f t="shared" ref="F414:G414" si="145">F415</f>
        <v>0</v>
      </c>
      <c r="G414" s="20">
        <f t="shared" si="145"/>
        <v>0</v>
      </c>
    </row>
    <row r="415" spans="1:7" ht="31.5" outlineLevel="2" x14ac:dyDescent="0.25">
      <c r="A415" s="23" t="s">
        <v>76</v>
      </c>
      <c r="B415" s="19" t="s">
        <v>56</v>
      </c>
      <c r="C415" s="19" t="s">
        <v>578</v>
      </c>
      <c r="D415" s="19" t="s">
        <v>39</v>
      </c>
      <c r="E415" s="20">
        <v>7339</v>
      </c>
      <c r="F415" s="20">
        <v>0</v>
      </c>
      <c r="G415" s="20">
        <v>0</v>
      </c>
    </row>
    <row r="416" spans="1:7" ht="78.75" outlineLevel="2" x14ac:dyDescent="0.25">
      <c r="A416" s="23" t="s">
        <v>579</v>
      </c>
      <c r="B416" s="19" t="s">
        <v>56</v>
      </c>
      <c r="C416" s="19" t="s">
        <v>582</v>
      </c>
      <c r="D416" s="19"/>
      <c r="E416" s="20">
        <f>E417</f>
        <v>2845.9</v>
      </c>
      <c r="F416" s="20">
        <f t="shared" ref="F416:G416" si="146">F417</f>
        <v>0</v>
      </c>
      <c r="G416" s="20">
        <f t="shared" si="146"/>
        <v>0</v>
      </c>
    </row>
    <row r="417" spans="1:7" ht="31.5" outlineLevel="2" x14ac:dyDescent="0.25">
      <c r="A417" s="23" t="s">
        <v>76</v>
      </c>
      <c r="B417" s="19" t="s">
        <v>56</v>
      </c>
      <c r="C417" s="19" t="s">
        <v>582</v>
      </c>
      <c r="D417" s="19" t="s">
        <v>39</v>
      </c>
      <c r="E417" s="20">
        <v>2845.9</v>
      </c>
      <c r="F417" s="20">
        <v>0</v>
      </c>
      <c r="G417" s="20">
        <v>0</v>
      </c>
    </row>
    <row r="418" spans="1:7" ht="78.75" outlineLevel="2" x14ac:dyDescent="0.25">
      <c r="A418" s="23" t="s">
        <v>580</v>
      </c>
      <c r="B418" s="19" t="s">
        <v>56</v>
      </c>
      <c r="C418" s="19" t="s">
        <v>583</v>
      </c>
      <c r="D418" s="19"/>
      <c r="E418" s="20">
        <f>E419</f>
        <v>2315.6</v>
      </c>
      <c r="F418" s="20">
        <f t="shared" ref="F418:G418" si="147">F419</f>
        <v>0</v>
      </c>
      <c r="G418" s="20">
        <f t="shared" si="147"/>
        <v>0</v>
      </c>
    </row>
    <row r="419" spans="1:7" ht="31.5" outlineLevel="2" x14ac:dyDescent="0.25">
      <c r="A419" s="23" t="s">
        <v>76</v>
      </c>
      <c r="B419" s="19" t="s">
        <v>56</v>
      </c>
      <c r="C419" s="19" t="s">
        <v>583</v>
      </c>
      <c r="D419" s="19" t="s">
        <v>39</v>
      </c>
      <c r="E419" s="20">
        <v>2315.6</v>
      </c>
      <c r="F419" s="20">
        <v>0</v>
      </c>
      <c r="G419" s="20">
        <v>0</v>
      </c>
    </row>
    <row r="420" spans="1:7" ht="94.5" outlineLevel="2" x14ac:dyDescent="0.25">
      <c r="A420" s="23" t="s">
        <v>581</v>
      </c>
      <c r="B420" s="19" t="s">
        <v>56</v>
      </c>
      <c r="C420" s="19" t="s">
        <v>584</v>
      </c>
      <c r="D420" s="19"/>
      <c r="E420" s="20">
        <f>E421</f>
        <v>5166.8999999999996</v>
      </c>
      <c r="F420" s="20">
        <f t="shared" ref="F420:G420" si="148">F421</f>
        <v>0</v>
      </c>
      <c r="G420" s="20">
        <f t="shared" si="148"/>
        <v>0</v>
      </c>
    </row>
    <row r="421" spans="1:7" ht="31.5" outlineLevel="2" x14ac:dyDescent="0.25">
      <c r="A421" s="23" t="s">
        <v>76</v>
      </c>
      <c r="B421" s="19" t="s">
        <v>56</v>
      </c>
      <c r="C421" s="19" t="s">
        <v>584</v>
      </c>
      <c r="D421" s="19" t="s">
        <v>39</v>
      </c>
      <c r="E421" s="20">
        <v>5166.8999999999996</v>
      </c>
      <c r="F421" s="20">
        <v>0</v>
      </c>
      <c r="G421" s="20">
        <v>0</v>
      </c>
    </row>
    <row r="422" spans="1:7" ht="63" outlineLevel="2" x14ac:dyDescent="0.25">
      <c r="A422" s="23" t="s">
        <v>585</v>
      </c>
      <c r="B422" s="19" t="s">
        <v>56</v>
      </c>
      <c r="C422" s="19" t="s">
        <v>587</v>
      </c>
      <c r="D422" s="19"/>
      <c r="E422" s="20">
        <f>E423</f>
        <v>1916.9</v>
      </c>
      <c r="F422" s="20">
        <f t="shared" ref="F422:G422" si="149">F423</f>
        <v>0</v>
      </c>
      <c r="G422" s="20">
        <f t="shared" si="149"/>
        <v>0</v>
      </c>
    </row>
    <row r="423" spans="1:7" ht="31.5" outlineLevel="2" x14ac:dyDescent="0.25">
      <c r="A423" s="23" t="s">
        <v>76</v>
      </c>
      <c r="B423" s="19" t="s">
        <v>56</v>
      </c>
      <c r="C423" s="19" t="s">
        <v>587</v>
      </c>
      <c r="D423" s="19" t="s">
        <v>39</v>
      </c>
      <c r="E423" s="20">
        <v>1916.9</v>
      </c>
      <c r="F423" s="20">
        <v>0</v>
      </c>
      <c r="G423" s="20">
        <v>0</v>
      </c>
    </row>
    <row r="424" spans="1:7" ht="78.75" outlineLevel="2" x14ac:dyDescent="0.25">
      <c r="A424" s="23" t="s">
        <v>586</v>
      </c>
      <c r="B424" s="19" t="s">
        <v>56</v>
      </c>
      <c r="C424" s="19" t="s">
        <v>588</v>
      </c>
      <c r="D424" s="19"/>
      <c r="E424" s="20">
        <f>E425</f>
        <v>221.10000000000002</v>
      </c>
      <c r="F424" s="20">
        <f t="shared" ref="F424:G424" si="150">F425</f>
        <v>0</v>
      </c>
      <c r="G424" s="20">
        <f t="shared" si="150"/>
        <v>0</v>
      </c>
    </row>
    <row r="425" spans="1:7" ht="31.5" outlineLevel="2" x14ac:dyDescent="0.25">
      <c r="A425" s="23" t="s">
        <v>76</v>
      </c>
      <c r="B425" s="19" t="s">
        <v>56</v>
      </c>
      <c r="C425" s="19" t="s">
        <v>588</v>
      </c>
      <c r="D425" s="19" t="s">
        <v>39</v>
      </c>
      <c r="E425" s="20">
        <v>221.10000000000002</v>
      </c>
      <c r="F425" s="20">
        <v>0</v>
      </c>
      <c r="G425" s="20">
        <v>0</v>
      </c>
    </row>
    <row r="426" spans="1:7" ht="78.75" outlineLevel="2" x14ac:dyDescent="0.25">
      <c r="A426" s="23" t="s">
        <v>589</v>
      </c>
      <c r="B426" s="19" t="s">
        <v>56</v>
      </c>
      <c r="C426" s="19" t="s">
        <v>593</v>
      </c>
      <c r="D426" s="19"/>
      <c r="E426" s="20">
        <f>E427</f>
        <v>19761.8</v>
      </c>
      <c r="F426" s="20">
        <f t="shared" ref="F426:G426" si="151">F427</f>
        <v>0</v>
      </c>
      <c r="G426" s="20">
        <f t="shared" si="151"/>
        <v>0</v>
      </c>
    </row>
    <row r="427" spans="1:7" ht="31.5" outlineLevel="2" x14ac:dyDescent="0.25">
      <c r="A427" s="23" t="s">
        <v>76</v>
      </c>
      <c r="B427" s="19" t="s">
        <v>56</v>
      </c>
      <c r="C427" s="19" t="s">
        <v>593</v>
      </c>
      <c r="D427" s="19" t="s">
        <v>39</v>
      </c>
      <c r="E427" s="20">
        <v>19761.8</v>
      </c>
      <c r="F427" s="20">
        <v>0</v>
      </c>
      <c r="G427" s="20">
        <v>0</v>
      </c>
    </row>
    <row r="428" spans="1:7" ht="63" outlineLevel="2" x14ac:dyDescent="0.25">
      <c r="A428" s="23" t="s">
        <v>590</v>
      </c>
      <c r="B428" s="19" t="s">
        <v>56</v>
      </c>
      <c r="C428" s="19" t="s">
        <v>594</v>
      </c>
      <c r="D428" s="19"/>
      <c r="E428" s="20">
        <f>E429</f>
        <v>40628.400000000001</v>
      </c>
      <c r="F428" s="20">
        <f t="shared" ref="F428:G428" si="152">F429</f>
        <v>0</v>
      </c>
      <c r="G428" s="20">
        <f t="shared" si="152"/>
        <v>0</v>
      </c>
    </row>
    <row r="429" spans="1:7" ht="31.5" outlineLevel="2" x14ac:dyDescent="0.25">
      <c r="A429" s="23" t="s">
        <v>76</v>
      </c>
      <c r="B429" s="19" t="s">
        <v>56</v>
      </c>
      <c r="C429" s="19" t="s">
        <v>594</v>
      </c>
      <c r="D429" s="19" t="s">
        <v>39</v>
      </c>
      <c r="E429" s="20">
        <f>37054.3+3359.7+214.4</f>
        <v>40628.400000000001</v>
      </c>
      <c r="F429" s="20">
        <v>0</v>
      </c>
      <c r="G429" s="20">
        <v>0</v>
      </c>
    </row>
    <row r="430" spans="1:7" ht="63" outlineLevel="2" x14ac:dyDescent="0.25">
      <c r="A430" s="23" t="s">
        <v>591</v>
      </c>
      <c r="B430" s="19" t="s">
        <v>56</v>
      </c>
      <c r="C430" s="19" t="s">
        <v>595</v>
      </c>
      <c r="D430" s="19"/>
      <c r="E430" s="20">
        <f>E431</f>
        <v>3635.7999999999997</v>
      </c>
      <c r="F430" s="20">
        <f t="shared" ref="F430:G430" si="153">F431</f>
        <v>0</v>
      </c>
      <c r="G430" s="20">
        <f t="shared" si="153"/>
        <v>0</v>
      </c>
    </row>
    <row r="431" spans="1:7" ht="31.5" outlineLevel="2" x14ac:dyDescent="0.25">
      <c r="A431" s="23" t="s">
        <v>76</v>
      </c>
      <c r="B431" s="19" t="s">
        <v>56</v>
      </c>
      <c r="C431" s="19" t="s">
        <v>595</v>
      </c>
      <c r="D431" s="19" t="s">
        <v>39</v>
      </c>
      <c r="E431" s="20">
        <v>3635.7999999999997</v>
      </c>
      <c r="F431" s="20">
        <v>0</v>
      </c>
      <c r="G431" s="20">
        <v>0</v>
      </c>
    </row>
    <row r="432" spans="1:7" ht="63" outlineLevel="2" x14ac:dyDescent="0.25">
      <c r="A432" s="23" t="s">
        <v>592</v>
      </c>
      <c r="B432" s="19" t="s">
        <v>56</v>
      </c>
      <c r="C432" s="19" t="s">
        <v>596</v>
      </c>
      <c r="D432" s="19"/>
      <c r="E432" s="20">
        <f>E433</f>
        <v>6567.1</v>
      </c>
      <c r="F432" s="20">
        <f t="shared" ref="F432:G432" si="154">F433</f>
        <v>0</v>
      </c>
      <c r="G432" s="20">
        <f t="shared" si="154"/>
        <v>0</v>
      </c>
    </row>
    <row r="433" spans="1:7" ht="31.5" outlineLevel="2" x14ac:dyDescent="0.25">
      <c r="A433" s="23" t="s">
        <v>76</v>
      </c>
      <c r="B433" s="19" t="s">
        <v>56</v>
      </c>
      <c r="C433" s="19" t="s">
        <v>596</v>
      </c>
      <c r="D433" s="19" t="s">
        <v>39</v>
      </c>
      <c r="E433" s="20">
        <v>6567.1</v>
      </c>
      <c r="F433" s="20">
        <v>0</v>
      </c>
      <c r="G433" s="20">
        <v>0</v>
      </c>
    </row>
    <row r="434" spans="1:7" ht="110.25" outlineLevel="2" x14ac:dyDescent="0.25">
      <c r="A434" s="51" t="s">
        <v>705</v>
      </c>
      <c r="B434" s="19" t="s">
        <v>56</v>
      </c>
      <c r="C434" s="19" t="s">
        <v>707</v>
      </c>
      <c r="D434" s="19"/>
      <c r="E434" s="20">
        <f t="shared" ref="E434:G434" si="155">E435</f>
        <v>46117.000000000007</v>
      </c>
      <c r="F434" s="20">
        <f t="shared" si="155"/>
        <v>0</v>
      </c>
      <c r="G434" s="20">
        <f t="shared" si="155"/>
        <v>0</v>
      </c>
    </row>
    <row r="435" spans="1:7" ht="47.25" outlineLevel="2" x14ac:dyDescent="0.25">
      <c r="A435" s="23" t="s">
        <v>310</v>
      </c>
      <c r="B435" s="19" t="s">
        <v>56</v>
      </c>
      <c r="C435" s="19" t="s">
        <v>707</v>
      </c>
      <c r="D435" s="19" t="s">
        <v>464</v>
      </c>
      <c r="E435" s="20">
        <f>57328.3-10538.6-672.7</f>
        <v>46117.000000000007</v>
      </c>
      <c r="F435" s="20">
        <v>0</v>
      </c>
      <c r="G435" s="20">
        <v>0</v>
      </c>
    </row>
    <row r="436" spans="1:7" ht="78.75" outlineLevel="2" x14ac:dyDescent="0.25">
      <c r="A436" s="39" t="s">
        <v>706</v>
      </c>
      <c r="B436" s="19" t="s">
        <v>56</v>
      </c>
      <c r="C436" s="19" t="s">
        <v>708</v>
      </c>
      <c r="D436" s="19"/>
      <c r="E436" s="20">
        <f t="shared" ref="E436:G436" si="156">E437</f>
        <v>44934.299999999996</v>
      </c>
      <c r="F436" s="20">
        <f t="shared" si="156"/>
        <v>0</v>
      </c>
      <c r="G436" s="20">
        <f t="shared" si="156"/>
        <v>0</v>
      </c>
    </row>
    <row r="437" spans="1:7" ht="47.25" outlineLevel="2" x14ac:dyDescent="0.25">
      <c r="A437" s="23" t="s">
        <v>310</v>
      </c>
      <c r="B437" s="19" t="s">
        <v>56</v>
      </c>
      <c r="C437" s="19" t="s">
        <v>708</v>
      </c>
      <c r="D437" s="19" t="s">
        <v>464</v>
      </c>
      <c r="E437" s="20">
        <f>33723+10538.6+672.7</f>
        <v>44934.299999999996</v>
      </c>
      <c r="F437" s="20">
        <v>0</v>
      </c>
      <c r="G437" s="20">
        <v>0</v>
      </c>
    </row>
    <row r="438" spans="1:7" ht="63" outlineLevel="2" x14ac:dyDescent="0.25">
      <c r="A438" s="39" t="s">
        <v>709</v>
      </c>
      <c r="B438" s="19" t="s">
        <v>56</v>
      </c>
      <c r="C438" s="19" t="s">
        <v>713</v>
      </c>
      <c r="D438" s="19"/>
      <c r="E438" s="20">
        <f t="shared" ref="E438:G438" si="157">E439</f>
        <v>9511.9000000000015</v>
      </c>
      <c r="F438" s="20">
        <f t="shared" si="157"/>
        <v>0</v>
      </c>
      <c r="G438" s="20">
        <f t="shared" si="157"/>
        <v>0</v>
      </c>
    </row>
    <row r="439" spans="1:7" ht="47.25" outlineLevel="2" x14ac:dyDescent="0.25">
      <c r="A439" s="23" t="s">
        <v>310</v>
      </c>
      <c r="B439" s="19" t="s">
        <v>56</v>
      </c>
      <c r="C439" s="19" t="s">
        <v>713</v>
      </c>
      <c r="D439" s="19" t="s">
        <v>464</v>
      </c>
      <c r="E439" s="20">
        <v>9511.9000000000015</v>
      </c>
      <c r="F439" s="20">
        <v>0</v>
      </c>
      <c r="G439" s="20">
        <v>0</v>
      </c>
    </row>
    <row r="440" spans="1:7" ht="78.75" outlineLevel="2" x14ac:dyDescent="0.25">
      <c r="A440" s="39" t="s">
        <v>710</v>
      </c>
      <c r="B440" s="19" t="s">
        <v>56</v>
      </c>
      <c r="C440" s="19" t="s">
        <v>714</v>
      </c>
      <c r="D440" s="19"/>
      <c r="E440" s="20">
        <f t="shared" ref="E440:G440" si="158">E441</f>
        <v>0</v>
      </c>
      <c r="F440" s="20">
        <f t="shared" si="158"/>
        <v>17635.599999999999</v>
      </c>
      <c r="G440" s="20">
        <f t="shared" si="158"/>
        <v>0</v>
      </c>
    </row>
    <row r="441" spans="1:7" ht="47.25" outlineLevel="2" x14ac:dyDescent="0.25">
      <c r="A441" s="23" t="s">
        <v>310</v>
      </c>
      <c r="B441" s="19" t="s">
        <v>56</v>
      </c>
      <c r="C441" s="19" t="s">
        <v>714</v>
      </c>
      <c r="D441" s="19" t="s">
        <v>464</v>
      </c>
      <c r="E441" s="20">
        <v>0</v>
      </c>
      <c r="F441" s="20">
        <v>17635.599999999999</v>
      </c>
      <c r="G441" s="20">
        <v>0</v>
      </c>
    </row>
    <row r="442" spans="1:7" ht="78.75" outlineLevel="2" x14ac:dyDescent="0.25">
      <c r="A442" s="39" t="s">
        <v>711</v>
      </c>
      <c r="B442" s="19" t="s">
        <v>56</v>
      </c>
      <c r="C442" s="19" t="s">
        <v>715</v>
      </c>
      <c r="D442" s="19"/>
      <c r="E442" s="20">
        <f t="shared" ref="E442:G442" si="159">E443</f>
        <v>0</v>
      </c>
      <c r="F442" s="20">
        <f t="shared" si="159"/>
        <v>31968.5</v>
      </c>
      <c r="G442" s="20">
        <f t="shared" si="159"/>
        <v>0</v>
      </c>
    </row>
    <row r="443" spans="1:7" ht="47.25" outlineLevel="2" x14ac:dyDescent="0.25">
      <c r="A443" s="23" t="s">
        <v>310</v>
      </c>
      <c r="B443" s="19" t="s">
        <v>56</v>
      </c>
      <c r="C443" s="19" t="s">
        <v>715</v>
      </c>
      <c r="D443" s="19" t="s">
        <v>464</v>
      </c>
      <c r="E443" s="20">
        <v>0</v>
      </c>
      <c r="F443" s="20">
        <v>31968.5</v>
      </c>
      <c r="G443" s="20">
        <v>0</v>
      </c>
    </row>
    <row r="444" spans="1:7" ht="78.75" outlineLevel="2" x14ac:dyDescent="0.25">
      <c r="A444" s="39" t="s">
        <v>712</v>
      </c>
      <c r="B444" s="19" t="s">
        <v>56</v>
      </c>
      <c r="C444" s="19" t="s">
        <v>716</v>
      </c>
      <c r="D444" s="19"/>
      <c r="E444" s="20">
        <f t="shared" ref="E444:G444" si="160">E445</f>
        <v>42377.799999999996</v>
      </c>
      <c r="F444" s="20">
        <f t="shared" si="160"/>
        <v>0</v>
      </c>
      <c r="G444" s="20">
        <f t="shared" si="160"/>
        <v>0</v>
      </c>
    </row>
    <row r="445" spans="1:7" ht="47.25" outlineLevel="2" x14ac:dyDescent="0.25">
      <c r="A445" s="23" t="s">
        <v>310</v>
      </c>
      <c r="B445" s="19" t="s">
        <v>56</v>
      </c>
      <c r="C445" s="19" t="s">
        <v>716</v>
      </c>
      <c r="D445" s="19" t="s">
        <v>464</v>
      </c>
      <c r="E445" s="20">
        <v>42377.799999999996</v>
      </c>
      <c r="F445" s="20">
        <v>0</v>
      </c>
      <c r="G445" s="20">
        <v>0</v>
      </c>
    </row>
    <row r="446" spans="1:7" ht="94.5" outlineLevel="2" x14ac:dyDescent="0.25">
      <c r="A446" s="38" t="s">
        <v>762</v>
      </c>
      <c r="B446" s="19" t="s">
        <v>56</v>
      </c>
      <c r="C446" s="19" t="s">
        <v>764</v>
      </c>
      <c r="D446" s="19"/>
      <c r="E446" s="20">
        <f>E447</f>
        <v>8314.6</v>
      </c>
      <c r="F446" s="20">
        <f t="shared" ref="F446:G446" si="161">F447</f>
        <v>0</v>
      </c>
      <c r="G446" s="20">
        <f t="shared" si="161"/>
        <v>0</v>
      </c>
    </row>
    <row r="447" spans="1:7" ht="31.5" outlineLevel="2" x14ac:dyDescent="0.25">
      <c r="A447" s="34" t="s">
        <v>76</v>
      </c>
      <c r="B447" s="19" t="s">
        <v>56</v>
      </c>
      <c r="C447" s="19" t="s">
        <v>764</v>
      </c>
      <c r="D447" s="19" t="s">
        <v>39</v>
      </c>
      <c r="E447" s="20">
        <v>8314.6</v>
      </c>
      <c r="F447" s="20">
        <v>0</v>
      </c>
      <c r="G447" s="20">
        <v>0</v>
      </c>
    </row>
    <row r="448" spans="1:7" ht="63" outlineLevel="2" x14ac:dyDescent="0.25">
      <c r="A448" s="38" t="s">
        <v>763</v>
      </c>
      <c r="B448" s="19" t="s">
        <v>56</v>
      </c>
      <c r="C448" s="19" t="s">
        <v>765</v>
      </c>
      <c r="D448" s="19"/>
      <c r="E448" s="20">
        <f>E449</f>
        <v>18636.7</v>
      </c>
      <c r="F448" s="20">
        <f t="shared" ref="F448:G448" si="162">F449</f>
        <v>0</v>
      </c>
      <c r="G448" s="20">
        <f t="shared" si="162"/>
        <v>0</v>
      </c>
    </row>
    <row r="449" spans="1:7" ht="31.5" outlineLevel="2" x14ac:dyDescent="0.25">
      <c r="A449" s="34" t="s">
        <v>76</v>
      </c>
      <c r="B449" s="19" t="s">
        <v>56</v>
      </c>
      <c r="C449" s="19" t="s">
        <v>765</v>
      </c>
      <c r="D449" s="19" t="s">
        <v>39</v>
      </c>
      <c r="E449" s="20">
        <v>18636.7</v>
      </c>
      <c r="F449" s="20">
        <v>0</v>
      </c>
      <c r="G449" s="20">
        <v>0</v>
      </c>
    </row>
    <row r="450" spans="1:7" ht="63" outlineLevel="2" x14ac:dyDescent="0.25">
      <c r="A450" s="38" t="s">
        <v>766</v>
      </c>
      <c r="B450" s="19" t="s">
        <v>56</v>
      </c>
      <c r="C450" s="19" t="s">
        <v>767</v>
      </c>
      <c r="D450" s="19"/>
      <c r="E450" s="20">
        <f>E451</f>
        <v>23467.800000000003</v>
      </c>
      <c r="F450" s="20">
        <f>F451</f>
        <v>0</v>
      </c>
      <c r="G450" s="20">
        <f>G451</f>
        <v>0</v>
      </c>
    </row>
    <row r="451" spans="1:7" ht="31.5" outlineLevel="2" x14ac:dyDescent="0.25">
      <c r="A451" s="34" t="s">
        <v>76</v>
      </c>
      <c r="B451" s="19" t="s">
        <v>56</v>
      </c>
      <c r="C451" s="19" t="s">
        <v>767</v>
      </c>
      <c r="D451" s="19" t="s">
        <v>39</v>
      </c>
      <c r="E451" s="20">
        <f>22302.5+69.9+1095.4</f>
        <v>23467.800000000003</v>
      </c>
      <c r="F451" s="20">
        <v>0</v>
      </c>
      <c r="G451" s="20">
        <v>0</v>
      </c>
    </row>
    <row r="452" spans="1:7" ht="63" outlineLevel="2" x14ac:dyDescent="0.25">
      <c r="A452" s="23" t="s">
        <v>756</v>
      </c>
      <c r="B452" s="19" t="s">
        <v>56</v>
      </c>
      <c r="C452" s="19" t="s">
        <v>757</v>
      </c>
      <c r="D452" s="19"/>
      <c r="E452" s="20">
        <f>E453</f>
        <v>16250.7</v>
      </c>
      <c r="F452" s="20">
        <f t="shared" ref="F452:G452" si="163">F453</f>
        <v>0</v>
      </c>
      <c r="G452" s="20">
        <f t="shared" si="163"/>
        <v>0</v>
      </c>
    </row>
    <row r="453" spans="1:7" ht="31.5" outlineLevel="2" x14ac:dyDescent="0.25">
      <c r="A453" s="23" t="s">
        <v>76</v>
      </c>
      <c r="B453" s="19" t="s">
        <v>56</v>
      </c>
      <c r="C453" s="19" t="s">
        <v>757</v>
      </c>
      <c r="D453" s="19" t="s">
        <v>39</v>
      </c>
      <c r="E453" s="20">
        <v>16250.7</v>
      </c>
      <c r="F453" s="20">
        <v>0</v>
      </c>
      <c r="G453" s="20">
        <v>0</v>
      </c>
    </row>
    <row r="454" spans="1:7" ht="63" outlineLevel="2" x14ac:dyDescent="0.25">
      <c r="A454" s="34" t="s">
        <v>836</v>
      </c>
      <c r="B454" s="19" t="s">
        <v>56</v>
      </c>
      <c r="C454" s="19" t="s">
        <v>837</v>
      </c>
      <c r="D454" s="19"/>
      <c r="E454" s="20">
        <f>+E455</f>
        <v>4506.8999999999996</v>
      </c>
      <c r="F454" s="20">
        <f t="shared" ref="F454:G454" si="164">+F455</f>
        <v>0</v>
      </c>
      <c r="G454" s="20">
        <f t="shared" si="164"/>
        <v>0</v>
      </c>
    </row>
    <row r="455" spans="1:7" ht="31.5" outlineLevel="2" x14ac:dyDescent="0.25">
      <c r="A455" s="34" t="s">
        <v>76</v>
      </c>
      <c r="B455" s="19" t="s">
        <v>56</v>
      </c>
      <c r="C455" s="19" t="s">
        <v>837</v>
      </c>
      <c r="D455" s="19" t="s">
        <v>39</v>
      </c>
      <c r="E455" s="20">
        <f>270.4+4236.5</f>
        <v>4506.8999999999996</v>
      </c>
      <c r="F455" s="20">
        <v>0</v>
      </c>
      <c r="G455" s="20">
        <v>0</v>
      </c>
    </row>
    <row r="456" spans="1:7" ht="63" outlineLevel="2" x14ac:dyDescent="0.25">
      <c r="A456" s="48" t="s">
        <v>812</v>
      </c>
      <c r="B456" s="19" t="s">
        <v>56</v>
      </c>
      <c r="C456" s="19" t="s">
        <v>823</v>
      </c>
      <c r="D456" s="19"/>
      <c r="E456" s="20">
        <f>+E457</f>
        <v>500.6</v>
      </c>
      <c r="F456" s="20">
        <f t="shared" ref="F456:G456" si="165">+F457</f>
        <v>0</v>
      </c>
      <c r="G456" s="20">
        <f t="shared" si="165"/>
        <v>0</v>
      </c>
    </row>
    <row r="457" spans="1:7" ht="31.5" outlineLevel="2" x14ac:dyDescent="0.25">
      <c r="A457" s="23" t="s">
        <v>76</v>
      </c>
      <c r="B457" s="19" t="s">
        <v>56</v>
      </c>
      <c r="C457" s="19" t="s">
        <v>823</v>
      </c>
      <c r="D457" s="19" t="s">
        <v>39</v>
      </c>
      <c r="E457" s="20">
        <f>30+470.6</f>
        <v>500.6</v>
      </c>
      <c r="F457" s="20">
        <v>0</v>
      </c>
      <c r="G457" s="20">
        <v>0</v>
      </c>
    </row>
    <row r="458" spans="1:7" ht="63" outlineLevel="2" x14ac:dyDescent="0.25">
      <c r="A458" s="48" t="s">
        <v>813</v>
      </c>
      <c r="B458" s="19" t="s">
        <v>56</v>
      </c>
      <c r="C458" s="19" t="s">
        <v>824</v>
      </c>
      <c r="D458" s="19"/>
      <c r="E458" s="20">
        <f>+E459</f>
        <v>496.90000000000003</v>
      </c>
      <c r="F458" s="20">
        <f t="shared" ref="F458:G458" si="166">+F459</f>
        <v>0</v>
      </c>
      <c r="G458" s="20">
        <f t="shared" si="166"/>
        <v>0</v>
      </c>
    </row>
    <row r="459" spans="1:7" ht="31.5" outlineLevel="2" x14ac:dyDescent="0.25">
      <c r="A459" s="23" t="s">
        <v>76</v>
      </c>
      <c r="B459" s="19" t="s">
        <v>56</v>
      </c>
      <c r="C459" s="19" t="s">
        <v>824</v>
      </c>
      <c r="D459" s="19" t="s">
        <v>39</v>
      </c>
      <c r="E459" s="20">
        <f>29.8+467.1</f>
        <v>496.90000000000003</v>
      </c>
      <c r="F459" s="20">
        <v>0</v>
      </c>
      <c r="G459" s="20">
        <v>0</v>
      </c>
    </row>
    <row r="460" spans="1:7" ht="78.75" outlineLevel="2" x14ac:dyDescent="0.25">
      <c r="A460" s="48" t="s">
        <v>814</v>
      </c>
      <c r="B460" s="19" t="s">
        <v>56</v>
      </c>
      <c r="C460" s="19" t="s">
        <v>825</v>
      </c>
      <c r="D460" s="19"/>
      <c r="E460" s="20">
        <f>+E461</f>
        <v>117.1</v>
      </c>
      <c r="F460" s="20">
        <f t="shared" ref="F460:G460" si="167">+F461</f>
        <v>0</v>
      </c>
      <c r="G460" s="20">
        <f t="shared" si="167"/>
        <v>0</v>
      </c>
    </row>
    <row r="461" spans="1:7" ht="31.5" outlineLevel="2" x14ac:dyDescent="0.25">
      <c r="A461" s="23" t="s">
        <v>76</v>
      </c>
      <c r="B461" s="19" t="s">
        <v>56</v>
      </c>
      <c r="C461" s="19" t="s">
        <v>825</v>
      </c>
      <c r="D461" s="19" t="s">
        <v>39</v>
      </c>
      <c r="E461" s="20">
        <f>7+110.1</f>
        <v>117.1</v>
      </c>
      <c r="F461" s="20">
        <v>0</v>
      </c>
      <c r="G461" s="20">
        <v>0</v>
      </c>
    </row>
    <row r="462" spans="1:7" ht="63" outlineLevel="2" x14ac:dyDescent="0.25">
      <c r="A462" s="48" t="s">
        <v>815</v>
      </c>
      <c r="B462" s="19" t="s">
        <v>56</v>
      </c>
      <c r="C462" s="19" t="s">
        <v>826</v>
      </c>
      <c r="D462" s="19"/>
      <c r="E462" s="20">
        <f>+E463</f>
        <v>523</v>
      </c>
      <c r="F462" s="20">
        <f t="shared" ref="F462:G462" si="168">+F463</f>
        <v>0</v>
      </c>
      <c r="G462" s="20">
        <f t="shared" si="168"/>
        <v>0</v>
      </c>
    </row>
    <row r="463" spans="1:7" ht="31.5" outlineLevel="2" x14ac:dyDescent="0.25">
      <c r="A463" s="23" t="s">
        <v>76</v>
      </c>
      <c r="B463" s="19" t="s">
        <v>56</v>
      </c>
      <c r="C463" s="19" t="s">
        <v>826</v>
      </c>
      <c r="D463" s="19" t="s">
        <v>39</v>
      </c>
      <c r="E463" s="20">
        <f>31.4+491.6</f>
        <v>523</v>
      </c>
      <c r="F463" s="20">
        <v>0</v>
      </c>
      <c r="G463" s="20">
        <v>0</v>
      </c>
    </row>
    <row r="464" spans="1:7" ht="47.25" outlineLevel="2" x14ac:dyDescent="0.25">
      <c r="A464" s="48" t="s">
        <v>816</v>
      </c>
      <c r="B464" s="19" t="s">
        <v>56</v>
      </c>
      <c r="C464" s="19" t="s">
        <v>827</v>
      </c>
      <c r="D464" s="19"/>
      <c r="E464" s="20">
        <f>+E465</f>
        <v>598.1</v>
      </c>
      <c r="F464" s="20">
        <f t="shared" ref="F464:G464" si="169">+F465</f>
        <v>0</v>
      </c>
      <c r="G464" s="20">
        <f t="shared" si="169"/>
        <v>0</v>
      </c>
    </row>
    <row r="465" spans="1:7" ht="31.5" outlineLevel="2" x14ac:dyDescent="0.25">
      <c r="A465" s="23" t="s">
        <v>76</v>
      </c>
      <c r="B465" s="19" t="s">
        <v>56</v>
      </c>
      <c r="C465" s="19" t="s">
        <v>827</v>
      </c>
      <c r="D465" s="19" t="s">
        <v>39</v>
      </c>
      <c r="E465" s="20">
        <f>35.9+562.2</f>
        <v>598.1</v>
      </c>
      <c r="F465" s="20">
        <v>0</v>
      </c>
      <c r="G465" s="20">
        <v>0</v>
      </c>
    </row>
    <row r="466" spans="1:7" ht="47.25" outlineLevel="2" x14ac:dyDescent="0.25">
      <c r="A466" s="48" t="s">
        <v>817</v>
      </c>
      <c r="B466" s="19" t="s">
        <v>56</v>
      </c>
      <c r="C466" s="19" t="s">
        <v>828</v>
      </c>
      <c r="D466" s="19"/>
      <c r="E466" s="20">
        <f>+E467</f>
        <v>274.09999999999997</v>
      </c>
      <c r="F466" s="20">
        <f t="shared" ref="F466:G466" si="170">+F467</f>
        <v>0</v>
      </c>
      <c r="G466" s="20">
        <f t="shared" si="170"/>
        <v>0</v>
      </c>
    </row>
    <row r="467" spans="1:7" ht="31.5" outlineLevel="2" x14ac:dyDescent="0.25">
      <c r="A467" s="23" t="s">
        <v>76</v>
      </c>
      <c r="B467" s="19" t="s">
        <v>56</v>
      </c>
      <c r="C467" s="19" t="s">
        <v>828</v>
      </c>
      <c r="D467" s="19" t="s">
        <v>39</v>
      </c>
      <c r="E467" s="20">
        <f>16.4+257.7</f>
        <v>274.09999999999997</v>
      </c>
      <c r="F467" s="20">
        <v>0</v>
      </c>
      <c r="G467" s="20">
        <v>0</v>
      </c>
    </row>
    <row r="468" spans="1:7" ht="78.75" outlineLevel="2" x14ac:dyDescent="0.25">
      <c r="A468" s="34" t="s">
        <v>838</v>
      </c>
      <c r="B468" s="19" t="s">
        <v>56</v>
      </c>
      <c r="C468" s="19" t="s">
        <v>839</v>
      </c>
      <c r="D468" s="19"/>
      <c r="E468" s="20">
        <f>+E469</f>
        <v>7101.8</v>
      </c>
      <c r="F468" s="20">
        <f t="shared" ref="F468:G468" si="171">+F469</f>
        <v>0</v>
      </c>
      <c r="G468" s="20">
        <f t="shared" si="171"/>
        <v>0</v>
      </c>
    </row>
    <row r="469" spans="1:7" ht="31.5" outlineLevel="2" x14ac:dyDescent="0.25">
      <c r="A469" s="34" t="s">
        <v>76</v>
      </c>
      <c r="B469" s="19" t="s">
        <v>56</v>
      </c>
      <c r="C469" s="19" t="s">
        <v>839</v>
      </c>
      <c r="D469" s="19" t="s">
        <v>39</v>
      </c>
      <c r="E469" s="20">
        <f>426.1+6675.7</f>
        <v>7101.8</v>
      </c>
      <c r="F469" s="20">
        <v>0</v>
      </c>
      <c r="G469" s="20">
        <v>0</v>
      </c>
    </row>
    <row r="470" spans="1:7" ht="63" outlineLevel="2" x14ac:dyDescent="0.25">
      <c r="A470" s="48" t="s">
        <v>818</v>
      </c>
      <c r="B470" s="19" t="s">
        <v>56</v>
      </c>
      <c r="C470" s="19" t="s">
        <v>829</v>
      </c>
      <c r="D470" s="19"/>
      <c r="E470" s="20">
        <f>+E471</f>
        <v>577.80000000000007</v>
      </c>
      <c r="F470" s="20">
        <f t="shared" ref="F470:G470" si="172">+F471</f>
        <v>0</v>
      </c>
      <c r="G470" s="20">
        <f t="shared" si="172"/>
        <v>0</v>
      </c>
    </row>
    <row r="471" spans="1:7" ht="31.5" outlineLevel="2" x14ac:dyDescent="0.25">
      <c r="A471" s="23" t="s">
        <v>76</v>
      </c>
      <c r="B471" s="19" t="s">
        <v>56</v>
      </c>
      <c r="C471" s="19" t="s">
        <v>829</v>
      </c>
      <c r="D471" s="19" t="s">
        <v>39</v>
      </c>
      <c r="E471" s="20">
        <f>34.7+543.1</f>
        <v>577.80000000000007</v>
      </c>
      <c r="F471" s="20">
        <v>0</v>
      </c>
      <c r="G471" s="20">
        <v>0</v>
      </c>
    </row>
    <row r="472" spans="1:7" ht="63" outlineLevel="2" x14ac:dyDescent="0.25">
      <c r="A472" s="48" t="s">
        <v>819</v>
      </c>
      <c r="B472" s="19" t="s">
        <v>56</v>
      </c>
      <c r="C472" s="19" t="s">
        <v>830</v>
      </c>
      <c r="D472" s="19"/>
      <c r="E472" s="20">
        <f>+E473</f>
        <v>575.20000000000005</v>
      </c>
      <c r="F472" s="20">
        <f t="shared" ref="F472:G472" si="173">+F473</f>
        <v>0</v>
      </c>
      <c r="G472" s="20">
        <f t="shared" si="173"/>
        <v>0</v>
      </c>
    </row>
    <row r="473" spans="1:7" ht="31.5" outlineLevel="2" x14ac:dyDescent="0.25">
      <c r="A473" s="23" t="s">
        <v>76</v>
      </c>
      <c r="B473" s="19" t="s">
        <v>56</v>
      </c>
      <c r="C473" s="19" t="s">
        <v>830</v>
      </c>
      <c r="D473" s="19" t="s">
        <v>39</v>
      </c>
      <c r="E473" s="20">
        <f>34.5+540.7</f>
        <v>575.20000000000005</v>
      </c>
      <c r="F473" s="20">
        <v>0</v>
      </c>
      <c r="G473" s="20">
        <v>0</v>
      </c>
    </row>
    <row r="474" spans="1:7" ht="78.75" outlineLevel="2" x14ac:dyDescent="0.25">
      <c r="A474" s="48" t="s">
        <v>820</v>
      </c>
      <c r="B474" s="19" t="s">
        <v>56</v>
      </c>
      <c r="C474" s="19" t="s">
        <v>831</v>
      </c>
      <c r="D474" s="19"/>
      <c r="E474" s="20">
        <f>+E475</f>
        <v>580.4</v>
      </c>
      <c r="F474" s="20">
        <f t="shared" ref="F474:G474" si="174">+F475</f>
        <v>0</v>
      </c>
      <c r="G474" s="20">
        <f t="shared" si="174"/>
        <v>0</v>
      </c>
    </row>
    <row r="475" spans="1:7" ht="31.5" outlineLevel="2" x14ac:dyDescent="0.25">
      <c r="A475" s="23" t="s">
        <v>76</v>
      </c>
      <c r="B475" s="19" t="s">
        <v>56</v>
      </c>
      <c r="C475" s="19" t="s">
        <v>831</v>
      </c>
      <c r="D475" s="19" t="s">
        <v>39</v>
      </c>
      <c r="E475" s="20">
        <f>34.8+545.6</f>
        <v>580.4</v>
      </c>
      <c r="F475" s="20">
        <v>0</v>
      </c>
      <c r="G475" s="20">
        <v>0</v>
      </c>
    </row>
    <row r="476" spans="1:7" ht="63" outlineLevel="2" x14ac:dyDescent="0.25">
      <c r="A476" s="48" t="s">
        <v>821</v>
      </c>
      <c r="B476" s="19" t="s">
        <v>56</v>
      </c>
      <c r="C476" s="19" t="s">
        <v>832</v>
      </c>
      <c r="D476" s="19"/>
      <c r="E476" s="20">
        <f>+E477</f>
        <v>26401.8</v>
      </c>
      <c r="F476" s="20">
        <f t="shared" ref="F476:G476" si="175">+F477</f>
        <v>0</v>
      </c>
      <c r="G476" s="20">
        <f t="shared" si="175"/>
        <v>0</v>
      </c>
    </row>
    <row r="477" spans="1:7" ht="31.5" outlineLevel="2" x14ac:dyDescent="0.25">
      <c r="A477" s="23" t="s">
        <v>76</v>
      </c>
      <c r="B477" s="19" t="s">
        <v>56</v>
      </c>
      <c r="C477" s="19" t="s">
        <v>832</v>
      </c>
      <c r="D477" s="19" t="s">
        <v>39</v>
      </c>
      <c r="E477" s="20">
        <f>1584.1+24817.7</f>
        <v>26401.8</v>
      </c>
      <c r="F477" s="20">
        <v>0</v>
      </c>
      <c r="G477" s="20">
        <v>0</v>
      </c>
    </row>
    <row r="478" spans="1:7" ht="63" outlineLevel="2" x14ac:dyDescent="0.25">
      <c r="A478" s="48" t="s">
        <v>822</v>
      </c>
      <c r="B478" s="19" t="s">
        <v>56</v>
      </c>
      <c r="C478" s="19" t="s">
        <v>833</v>
      </c>
      <c r="D478" s="19"/>
      <c r="E478" s="20">
        <f>+E479</f>
        <v>598.69999999999993</v>
      </c>
      <c r="F478" s="20">
        <f t="shared" ref="F478:G478" si="176">+F479</f>
        <v>0</v>
      </c>
      <c r="G478" s="20">
        <f t="shared" si="176"/>
        <v>0</v>
      </c>
    </row>
    <row r="479" spans="1:7" ht="31.5" outlineLevel="2" x14ac:dyDescent="0.25">
      <c r="A479" s="23" t="s">
        <v>76</v>
      </c>
      <c r="B479" s="19" t="s">
        <v>56</v>
      </c>
      <c r="C479" s="19" t="s">
        <v>833</v>
      </c>
      <c r="D479" s="19" t="s">
        <v>39</v>
      </c>
      <c r="E479" s="20">
        <f>35.9+562.8</f>
        <v>598.69999999999993</v>
      </c>
      <c r="F479" s="20">
        <v>0</v>
      </c>
      <c r="G479" s="20">
        <v>0</v>
      </c>
    </row>
    <row r="480" spans="1:7" ht="47.25" outlineLevel="2" x14ac:dyDescent="0.25">
      <c r="A480" s="34" t="s">
        <v>554</v>
      </c>
      <c r="B480" s="19" t="s">
        <v>56</v>
      </c>
      <c r="C480" s="19" t="s">
        <v>555</v>
      </c>
      <c r="D480" s="19"/>
      <c r="E480" s="20">
        <f>E481</f>
        <v>17334.7</v>
      </c>
      <c r="F480" s="20">
        <f t="shared" ref="F480:G481" si="177">F481</f>
        <v>0</v>
      </c>
      <c r="G480" s="20">
        <f t="shared" si="177"/>
        <v>0</v>
      </c>
    </row>
    <row r="481" spans="1:7" ht="31.5" outlineLevel="2" x14ac:dyDescent="0.25">
      <c r="A481" s="42" t="s">
        <v>399</v>
      </c>
      <c r="B481" s="19" t="s">
        <v>56</v>
      </c>
      <c r="C481" s="19" t="s">
        <v>556</v>
      </c>
      <c r="D481" s="19"/>
      <c r="E481" s="20">
        <f>E482</f>
        <v>17334.7</v>
      </c>
      <c r="F481" s="20">
        <f t="shared" si="177"/>
        <v>0</v>
      </c>
      <c r="G481" s="20">
        <f t="shared" si="177"/>
        <v>0</v>
      </c>
    </row>
    <row r="482" spans="1:7" outlineLevel="2" x14ac:dyDescent="0.25">
      <c r="A482" s="42" t="s">
        <v>33</v>
      </c>
      <c r="B482" s="19" t="s">
        <v>56</v>
      </c>
      <c r="C482" s="19" t="s">
        <v>556</v>
      </c>
      <c r="D482" s="19" t="s">
        <v>529</v>
      </c>
      <c r="E482" s="20">
        <f>8096.1+9238.6</f>
        <v>17334.7</v>
      </c>
      <c r="F482" s="20">
        <v>0</v>
      </c>
      <c r="G482" s="20">
        <v>0</v>
      </c>
    </row>
    <row r="483" spans="1:7" outlineLevel="2" x14ac:dyDescent="0.25">
      <c r="A483" s="33" t="s">
        <v>144</v>
      </c>
      <c r="B483" s="31" t="s">
        <v>56</v>
      </c>
      <c r="C483" s="31" t="s">
        <v>83</v>
      </c>
      <c r="D483" s="25"/>
      <c r="E483" s="20">
        <f>E484+E494</f>
        <v>451159.1</v>
      </c>
      <c r="F483" s="20">
        <f>F484+F494</f>
        <v>471812.30000000005</v>
      </c>
      <c r="G483" s="20">
        <f>G484+G494</f>
        <v>493489.5</v>
      </c>
    </row>
    <row r="484" spans="1:7" ht="63" outlineLevel="2" x14ac:dyDescent="0.25">
      <c r="A484" s="33" t="s">
        <v>389</v>
      </c>
      <c r="B484" s="31" t="s">
        <v>56</v>
      </c>
      <c r="C484" s="31" t="s">
        <v>390</v>
      </c>
      <c r="D484" s="25"/>
      <c r="E484" s="20">
        <f>E3062+E490+E492+E487+E485</f>
        <v>434756</v>
      </c>
      <c r="F484" s="20">
        <f>F3062+F490+F492+F487+F485</f>
        <v>454753.4</v>
      </c>
      <c r="G484" s="20">
        <f>G3062+G490+G492+G487+G485</f>
        <v>475748.6</v>
      </c>
    </row>
    <row r="485" spans="1:7" ht="63" outlineLevel="2" x14ac:dyDescent="0.25">
      <c r="A485" s="42" t="s">
        <v>391</v>
      </c>
      <c r="B485" s="24" t="s">
        <v>56</v>
      </c>
      <c r="C485" s="24" t="s">
        <v>392</v>
      </c>
      <c r="D485" s="25"/>
      <c r="E485" s="20">
        <f>E486</f>
        <v>6973.0000000000009</v>
      </c>
      <c r="F485" s="20">
        <f t="shared" ref="F485:G485" si="178">F486</f>
        <v>0</v>
      </c>
      <c r="G485" s="20">
        <f t="shared" si="178"/>
        <v>0</v>
      </c>
    </row>
    <row r="486" spans="1:7" ht="31.5" outlineLevel="2" x14ac:dyDescent="0.25">
      <c r="A486" s="30" t="s">
        <v>76</v>
      </c>
      <c r="B486" s="24" t="s">
        <v>56</v>
      </c>
      <c r="C486" s="24" t="s">
        <v>392</v>
      </c>
      <c r="D486" s="25">
        <v>200</v>
      </c>
      <c r="E486" s="20">
        <f>4371.1+542.1+2059.8</f>
        <v>6973.0000000000009</v>
      </c>
      <c r="F486" s="20">
        <v>0</v>
      </c>
      <c r="G486" s="20">
        <v>0</v>
      </c>
    </row>
    <row r="487" spans="1:7" ht="110.25" outlineLevel="2" x14ac:dyDescent="0.25">
      <c r="A487" s="42" t="s">
        <v>395</v>
      </c>
      <c r="B487" s="19" t="s">
        <v>56</v>
      </c>
      <c r="C487" s="19" t="s">
        <v>610</v>
      </c>
      <c r="D487" s="19"/>
      <c r="E487" s="20">
        <f>SUM(E488:E489)</f>
        <v>231052.6</v>
      </c>
      <c r="F487" s="20">
        <f t="shared" ref="F487:G487" si="179">SUM(F488:F489)</f>
        <v>246313.9</v>
      </c>
      <c r="G487" s="20">
        <f t="shared" si="179"/>
        <v>255918.4</v>
      </c>
    </row>
    <row r="488" spans="1:7" ht="31.5" outlineLevel="2" x14ac:dyDescent="0.25">
      <c r="A488" s="34" t="s">
        <v>76</v>
      </c>
      <c r="B488" s="19" t="s">
        <v>56</v>
      </c>
      <c r="C488" s="19" t="s">
        <v>610</v>
      </c>
      <c r="D488" s="19" t="s">
        <v>39</v>
      </c>
      <c r="E488" s="20">
        <v>44.9</v>
      </c>
      <c r="F488" s="20">
        <v>44.9</v>
      </c>
      <c r="G488" s="20">
        <v>44.9</v>
      </c>
    </row>
    <row r="489" spans="1:7" outlineLevel="2" x14ac:dyDescent="0.25">
      <c r="A489" s="42" t="s">
        <v>33</v>
      </c>
      <c r="B489" s="19" t="s">
        <v>56</v>
      </c>
      <c r="C489" s="19" t="s">
        <v>610</v>
      </c>
      <c r="D489" s="19" t="s">
        <v>529</v>
      </c>
      <c r="E489" s="20">
        <v>231007.7</v>
      </c>
      <c r="F489" s="20">
        <v>246269</v>
      </c>
      <c r="G489" s="20">
        <v>255873.5</v>
      </c>
    </row>
    <row r="490" spans="1:7" ht="94.5" outlineLevel="2" x14ac:dyDescent="0.25">
      <c r="A490" s="42" t="s">
        <v>394</v>
      </c>
      <c r="B490" s="19" t="s">
        <v>56</v>
      </c>
      <c r="C490" s="19" t="s">
        <v>557</v>
      </c>
      <c r="D490" s="19"/>
      <c r="E490" s="20">
        <f>E491</f>
        <v>4457</v>
      </c>
      <c r="F490" s="20">
        <f t="shared" ref="F490:G490" si="180">F491</f>
        <v>4938.2</v>
      </c>
      <c r="G490" s="20">
        <f t="shared" si="180"/>
        <v>5135.7000000000007</v>
      </c>
    </row>
    <row r="491" spans="1:7" ht="31.5" outlineLevel="2" x14ac:dyDescent="0.25">
      <c r="A491" s="34" t="s">
        <v>20</v>
      </c>
      <c r="B491" s="19" t="s">
        <v>56</v>
      </c>
      <c r="C491" s="19" t="s">
        <v>557</v>
      </c>
      <c r="D491" s="19" t="s">
        <v>558</v>
      </c>
      <c r="E491" s="20">
        <v>4457</v>
      </c>
      <c r="F491" s="20">
        <v>4938.2</v>
      </c>
      <c r="G491" s="20">
        <v>5135.7000000000007</v>
      </c>
    </row>
    <row r="492" spans="1:7" ht="63" outlineLevel="2" x14ac:dyDescent="0.25">
      <c r="A492" s="42" t="s">
        <v>393</v>
      </c>
      <c r="B492" s="19" t="s">
        <v>56</v>
      </c>
      <c r="C492" s="19" t="s">
        <v>559</v>
      </c>
      <c r="D492" s="19"/>
      <c r="E492" s="20">
        <f>E493</f>
        <v>192273.4</v>
      </c>
      <c r="F492" s="20">
        <f t="shared" ref="F492:G492" si="181">F493</f>
        <v>203501.30000000002</v>
      </c>
      <c r="G492" s="20">
        <f t="shared" si="181"/>
        <v>214694.5</v>
      </c>
    </row>
    <row r="493" spans="1:7" outlineLevel="2" x14ac:dyDescent="0.25">
      <c r="A493" s="42" t="s">
        <v>33</v>
      </c>
      <c r="B493" s="19" t="s">
        <v>56</v>
      </c>
      <c r="C493" s="19" t="s">
        <v>559</v>
      </c>
      <c r="D493" s="19" t="s">
        <v>529</v>
      </c>
      <c r="E493" s="20">
        <v>192273.4</v>
      </c>
      <c r="F493" s="20">
        <v>203501.30000000002</v>
      </c>
      <c r="G493" s="20">
        <v>214694.5</v>
      </c>
    </row>
    <row r="494" spans="1:7" ht="47.25" outlineLevel="2" x14ac:dyDescent="0.25">
      <c r="A494" s="33" t="s">
        <v>383</v>
      </c>
      <c r="B494" s="31" t="s">
        <v>56</v>
      </c>
      <c r="C494" s="31" t="s">
        <v>384</v>
      </c>
      <c r="D494" s="25"/>
      <c r="E494" s="20">
        <f>E495+E497</f>
        <v>16403.100000000002</v>
      </c>
      <c r="F494" s="20">
        <f t="shared" ref="F494:G494" si="182">F495+F497</f>
        <v>17058.900000000001</v>
      </c>
      <c r="G494" s="20">
        <f t="shared" si="182"/>
        <v>17740.900000000001</v>
      </c>
    </row>
    <row r="495" spans="1:7" ht="47.25" outlineLevel="2" x14ac:dyDescent="0.25">
      <c r="A495" s="1" t="s">
        <v>396</v>
      </c>
      <c r="B495" s="24" t="s">
        <v>56</v>
      </c>
      <c r="C495" s="24" t="s">
        <v>397</v>
      </c>
      <c r="D495" s="25"/>
      <c r="E495" s="20">
        <f>E496</f>
        <v>16395.2</v>
      </c>
      <c r="F495" s="20">
        <f t="shared" ref="F495:G495" si="183">F496</f>
        <v>17051</v>
      </c>
      <c r="G495" s="20">
        <f t="shared" si="183"/>
        <v>17733</v>
      </c>
    </row>
    <row r="496" spans="1:7" outlineLevel="2" x14ac:dyDescent="0.25">
      <c r="A496" s="42" t="s">
        <v>33</v>
      </c>
      <c r="B496" s="24" t="s">
        <v>56</v>
      </c>
      <c r="C496" s="24" t="s">
        <v>397</v>
      </c>
      <c r="D496" s="25">
        <v>800</v>
      </c>
      <c r="E496" s="20">
        <v>16395.2</v>
      </c>
      <c r="F496" s="20">
        <v>17051</v>
      </c>
      <c r="G496" s="20">
        <v>17733</v>
      </c>
    </row>
    <row r="497" spans="1:7" ht="81" customHeight="1" outlineLevel="2" x14ac:dyDescent="0.25">
      <c r="A497" s="42" t="s">
        <v>738</v>
      </c>
      <c r="B497" s="24" t="s">
        <v>56</v>
      </c>
      <c r="C497" s="24" t="s">
        <v>398</v>
      </c>
      <c r="D497" s="25"/>
      <c r="E497" s="20">
        <f>E498</f>
        <v>7.9</v>
      </c>
      <c r="F497" s="20">
        <f t="shared" ref="F497:G497" si="184">F498</f>
        <v>7.9</v>
      </c>
      <c r="G497" s="20">
        <f t="shared" si="184"/>
        <v>7.9</v>
      </c>
    </row>
    <row r="498" spans="1:7" outlineLevel="2" x14ac:dyDescent="0.25">
      <c r="A498" s="42" t="s">
        <v>33</v>
      </c>
      <c r="B498" s="24" t="s">
        <v>56</v>
      </c>
      <c r="C498" s="24" t="s">
        <v>398</v>
      </c>
      <c r="D498" s="25">
        <v>800</v>
      </c>
      <c r="E498" s="20">
        <v>7.9</v>
      </c>
      <c r="F498" s="20">
        <v>7.9</v>
      </c>
      <c r="G498" s="20">
        <v>7.9</v>
      </c>
    </row>
    <row r="499" spans="1:7" outlineLevel="1" x14ac:dyDescent="0.25">
      <c r="A499" s="34" t="s">
        <v>57</v>
      </c>
      <c r="B499" s="24" t="s">
        <v>58</v>
      </c>
      <c r="D499" s="2"/>
      <c r="E499" s="20">
        <f>E503+E500</f>
        <v>1527158.9000000001</v>
      </c>
      <c r="F499" s="20">
        <f t="shared" ref="F499:G499" si="185">F503+F500</f>
        <v>812372.29999999993</v>
      </c>
      <c r="G499" s="20">
        <f t="shared" si="185"/>
        <v>741954.8</v>
      </c>
    </row>
    <row r="500" spans="1:7" outlineLevel="2" x14ac:dyDescent="0.25">
      <c r="A500" s="34" t="s">
        <v>9</v>
      </c>
      <c r="B500" s="24" t="s">
        <v>58</v>
      </c>
      <c r="C500" s="24" t="s">
        <v>10</v>
      </c>
      <c r="D500" s="24"/>
      <c r="E500" s="20">
        <f>+E501</f>
        <v>2731.7</v>
      </c>
      <c r="F500" s="20">
        <f t="shared" ref="F500:G501" si="186">+F501</f>
        <v>0</v>
      </c>
      <c r="G500" s="20">
        <f t="shared" si="186"/>
        <v>0</v>
      </c>
    </row>
    <row r="501" spans="1:7" ht="31.5" outlineLevel="2" x14ac:dyDescent="0.25">
      <c r="A501" s="34" t="s">
        <v>65</v>
      </c>
      <c r="B501" s="24" t="s">
        <v>58</v>
      </c>
      <c r="C501" s="24" t="s">
        <v>66</v>
      </c>
      <c r="D501" s="24"/>
      <c r="E501" s="20">
        <f>+E502</f>
        <v>2731.7</v>
      </c>
      <c r="F501" s="20">
        <f t="shared" si="186"/>
        <v>0</v>
      </c>
      <c r="G501" s="20">
        <f t="shared" si="186"/>
        <v>0</v>
      </c>
    </row>
    <row r="502" spans="1:7" ht="47.25" outlineLevel="2" x14ac:dyDescent="0.25">
      <c r="A502" s="30" t="s">
        <v>94</v>
      </c>
      <c r="B502" s="24" t="s">
        <v>58</v>
      </c>
      <c r="C502" s="24" t="s">
        <v>66</v>
      </c>
      <c r="D502" s="24" t="s">
        <v>95</v>
      </c>
      <c r="E502" s="20">
        <v>2731.7</v>
      </c>
      <c r="F502" s="20">
        <v>0</v>
      </c>
      <c r="G502" s="20">
        <v>0</v>
      </c>
    </row>
    <row r="503" spans="1:7" ht="47.25" outlineLevel="2" x14ac:dyDescent="0.25">
      <c r="A503" s="33" t="s">
        <v>370</v>
      </c>
      <c r="B503" s="24" t="s">
        <v>58</v>
      </c>
      <c r="C503" s="2" t="s">
        <v>371</v>
      </c>
      <c r="D503" s="25"/>
      <c r="E503" s="20">
        <f>E512+E544+E504</f>
        <v>1524427.2000000002</v>
      </c>
      <c r="F503" s="20">
        <f>F512+F544+F504</f>
        <v>812372.29999999993</v>
      </c>
      <c r="G503" s="20">
        <f>G512+G544+G504</f>
        <v>741954.8</v>
      </c>
    </row>
    <row r="504" spans="1:7" outlineLevel="2" x14ac:dyDescent="0.25">
      <c r="A504" s="21" t="s">
        <v>228</v>
      </c>
      <c r="B504" s="19" t="s">
        <v>58</v>
      </c>
      <c r="C504" s="19" t="s">
        <v>532</v>
      </c>
      <c r="D504" s="19"/>
      <c r="E504" s="20">
        <f>E505</f>
        <v>419744.1</v>
      </c>
      <c r="F504" s="20">
        <f t="shared" ref="F504:G508" si="187">F505</f>
        <v>108975.9</v>
      </c>
      <c r="G504" s="20">
        <f t="shared" si="187"/>
        <v>104473.4</v>
      </c>
    </row>
    <row r="505" spans="1:7" ht="47.25" outlineLevel="2" x14ac:dyDescent="0.25">
      <c r="A505" s="21" t="s">
        <v>530</v>
      </c>
      <c r="B505" s="19" t="s">
        <v>58</v>
      </c>
      <c r="C505" s="19" t="s">
        <v>533</v>
      </c>
      <c r="D505" s="19"/>
      <c r="E505" s="20">
        <f>E508+E506+E510</f>
        <v>419744.1</v>
      </c>
      <c r="F505" s="20">
        <f t="shared" ref="F505:G505" si="188">F508+F506</f>
        <v>108975.9</v>
      </c>
      <c r="G505" s="20">
        <f t="shared" si="188"/>
        <v>104473.4</v>
      </c>
    </row>
    <row r="506" spans="1:7" ht="78.75" outlineLevel="2" x14ac:dyDescent="0.25">
      <c r="A506" s="30" t="s">
        <v>535</v>
      </c>
      <c r="B506" s="19" t="s">
        <v>58</v>
      </c>
      <c r="C506" s="19" t="s">
        <v>536</v>
      </c>
      <c r="D506" s="19"/>
      <c r="E506" s="20">
        <f>E507</f>
        <v>306091.2</v>
      </c>
      <c r="F506" s="20">
        <f t="shared" ref="F506:G506" si="189">F507</f>
        <v>0</v>
      </c>
      <c r="G506" s="20">
        <f t="shared" si="189"/>
        <v>0</v>
      </c>
    </row>
    <row r="507" spans="1:7" ht="47.25" outlineLevel="2" x14ac:dyDescent="0.25">
      <c r="A507" s="30" t="s">
        <v>94</v>
      </c>
      <c r="B507" s="19" t="s">
        <v>58</v>
      </c>
      <c r="C507" s="19" t="s">
        <v>536</v>
      </c>
      <c r="D507" s="19" t="s">
        <v>95</v>
      </c>
      <c r="E507" s="20">
        <v>306091.2</v>
      </c>
      <c r="F507" s="20">
        <v>0</v>
      </c>
      <c r="G507" s="20">
        <v>0</v>
      </c>
    </row>
    <row r="508" spans="1:7" ht="31.5" outlineLevel="2" x14ac:dyDescent="0.25">
      <c r="A508" s="23" t="s">
        <v>531</v>
      </c>
      <c r="B508" s="19" t="s">
        <v>58</v>
      </c>
      <c r="C508" s="19" t="s">
        <v>534</v>
      </c>
      <c r="D508" s="19"/>
      <c r="E508" s="20">
        <f t="shared" ref="E508" si="190">E509</f>
        <v>113495.4</v>
      </c>
      <c r="F508" s="20">
        <f t="shared" si="187"/>
        <v>108975.9</v>
      </c>
      <c r="G508" s="20">
        <f t="shared" si="187"/>
        <v>104473.4</v>
      </c>
    </row>
    <row r="509" spans="1:7" ht="31.5" outlineLevel="2" x14ac:dyDescent="0.25">
      <c r="A509" s="23" t="s">
        <v>76</v>
      </c>
      <c r="B509" s="19" t="s">
        <v>58</v>
      </c>
      <c r="C509" s="19" t="s">
        <v>534</v>
      </c>
      <c r="D509" s="19" t="s">
        <v>39</v>
      </c>
      <c r="E509" s="20">
        <v>113495.4</v>
      </c>
      <c r="F509" s="20">
        <v>108975.9</v>
      </c>
      <c r="G509" s="20">
        <v>104473.4</v>
      </c>
    </row>
    <row r="510" spans="1:7" ht="78.75" outlineLevel="2" x14ac:dyDescent="0.25">
      <c r="A510" s="30" t="s">
        <v>535</v>
      </c>
      <c r="B510" s="19" t="s">
        <v>58</v>
      </c>
      <c r="C510" s="19" t="s">
        <v>727</v>
      </c>
      <c r="D510" s="19"/>
      <c r="E510" s="20">
        <f t="shared" ref="E510:G510" si="191">E511</f>
        <v>157.5</v>
      </c>
      <c r="F510" s="20">
        <f t="shared" si="191"/>
        <v>0</v>
      </c>
      <c r="G510" s="20">
        <f t="shared" si="191"/>
        <v>0</v>
      </c>
    </row>
    <row r="511" spans="1:7" ht="47.25" outlineLevel="2" x14ac:dyDescent="0.25">
      <c r="A511" s="30" t="s">
        <v>94</v>
      </c>
      <c r="B511" s="19" t="s">
        <v>58</v>
      </c>
      <c r="C511" s="19" t="s">
        <v>727</v>
      </c>
      <c r="D511" s="19" t="s">
        <v>95</v>
      </c>
      <c r="E511" s="20">
        <v>157.5</v>
      </c>
      <c r="F511" s="20">
        <v>0</v>
      </c>
      <c r="G511" s="20">
        <v>0</v>
      </c>
    </row>
    <row r="512" spans="1:7" ht="31.5" outlineLevel="2" x14ac:dyDescent="0.25">
      <c r="A512" s="33" t="s">
        <v>155</v>
      </c>
      <c r="B512" s="31" t="s">
        <v>58</v>
      </c>
      <c r="C512" s="31" t="s">
        <v>372</v>
      </c>
      <c r="D512" s="25"/>
      <c r="E512" s="20">
        <f>E513</f>
        <v>348144.79999999993</v>
      </c>
      <c r="F512" s="20">
        <f t="shared" ref="F512:G512" si="192">F513</f>
        <v>189234.6</v>
      </c>
      <c r="G512" s="20">
        <f t="shared" si="192"/>
        <v>112766</v>
      </c>
    </row>
    <row r="513" spans="1:9" ht="63" outlineLevel="2" x14ac:dyDescent="0.25">
      <c r="A513" s="33" t="s">
        <v>373</v>
      </c>
      <c r="B513" s="24" t="s">
        <v>58</v>
      </c>
      <c r="C513" s="24" t="s">
        <v>374</v>
      </c>
      <c r="D513" s="25"/>
      <c r="E513" s="20">
        <f>E514+E518+E540+E542+E520+E522+E524+E526+E516+E538+E528+E534+E530+E532+E536</f>
        <v>348144.79999999993</v>
      </c>
      <c r="F513" s="20">
        <f t="shared" ref="F513:G513" si="193">F514+F518+F540+F542+F520+F522+F524+F526+F516+F538+F528+F534+F530+F532+F536</f>
        <v>189234.6</v>
      </c>
      <c r="G513" s="20">
        <f t="shared" si="193"/>
        <v>112766</v>
      </c>
      <c r="H513" s="20"/>
      <c r="I513" s="20"/>
    </row>
    <row r="514" spans="1:9" ht="47.25" outlineLevel="2" x14ac:dyDescent="0.25">
      <c r="A514" s="33" t="s">
        <v>488</v>
      </c>
      <c r="B514" s="31" t="s">
        <v>58</v>
      </c>
      <c r="C514" s="31" t="s">
        <v>406</v>
      </c>
      <c r="D514" s="31"/>
      <c r="E514" s="20">
        <f>E515</f>
        <v>21649</v>
      </c>
      <c r="F514" s="20">
        <f t="shared" ref="F514:G514" si="194">F515</f>
        <v>0</v>
      </c>
      <c r="G514" s="20">
        <f t="shared" si="194"/>
        <v>0</v>
      </c>
    </row>
    <row r="515" spans="1:9" ht="31.5" outlineLevel="2" x14ac:dyDescent="0.25">
      <c r="A515" s="33" t="s">
        <v>76</v>
      </c>
      <c r="B515" s="31" t="s">
        <v>58</v>
      </c>
      <c r="C515" s="31" t="s">
        <v>406</v>
      </c>
      <c r="D515" s="31" t="s">
        <v>39</v>
      </c>
      <c r="E515" s="20">
        <f>12000+9649</f>
        <v>21649</v>
      </c>
      <c r="F515" s="20">
        <v>0</v>
      </c>
      <c r="G515" s="20">
        <v>0</v>
      </c>
    </row>
    <row r="516" spans="1:9" ht="47.25" outlineLevel="2" x14ac:dyDescent="0.25">
      <c r="A516" s="30" t="s">
        <v>723</v>
      </c>
      <c r="B516" s="19" t="s">
        <v>58</v>
      </c>
      <c r="C516" s="19" t="s">
        <v>724</v>
      </c>
      <c r="D516" s="19"/>
      <c r="E516" s="20">
        <f t="shared" ref="E516:G516" si="195">E517</f>
        <v>303</v>
      </c>
      <c r="F516" s="20">
        <f t="shared" si="195"/>
        <v>0</v>
      </c>
      <c r="G516" s="20">
        <f t="shared" si="195"/>
        <v>0</v>
      </c>
    </row>
    <row r="517" spans="1:9" ht="31.5" outlineLevel="2" x14ac:dyDescent="0.25">
      <c r="A517" s="30" t="s">
        <v>76</v>
      </c>
      <c r="B517" s="19" t="s">
        <v>58</v>
      </c>
      <c r="C517" s="19" t="s">
        <v>724</v>
      </c>
      <c r="D517" s="19" t="s">
        <v>39</v>
      </c>
      <c r="E517" s="20">
        <v>303</v>
      </c>
      <c r="F517" s="20">
        <v>0</v>
      </c>
      <c r="G517" s="20">
        <v>0</v>
      </c>
    </row>
    <row r="518" spans="1:9" outlineLevel="2" x14ac:dyDescent="0.25">
      <c r="A518" s="33" t="s">
        <v>375</v>
      </c>
      <c r="B518" s="24" t="s">
        <v>58</v>
      </c>
      <c r="C518" s="24" t="s">
        <v>376</v>
      </c>
      <c r="D518" s="2"/>
      <c r="E518" s="20">
        <f>E519</f>
        <v>38619.299999999996</v>
      </c>
      <c r="F518" s="20">
        <f t="shared" ref="F518:G518" si="196">F519</f>
        <v>0</v>
      </c>
      <c r="G518" s="20">
        <f t="shared" si="196"/>
        <v>0</v>
      </c>
    </row>
    <row r="519" spans="1:9" ht="31.5" outlineLevel="2" x14ac:dyDescent="0.25">
      <c r="A519" s="33" t="s">
        <v>76</v>
      </c>
      <c r="B519" s="24" t="s">
        <v>58</v>
      </c>
      <c r="C519" s="24" t="s">
        <v>376</v>
      </c>
      <c r="D519" s="2">
        <v>200</v>
      </c>
      <c r="E519" s="20">
        <v>38619.299999999996</v>
      </c>
      <c r="F519" s="20">
        <v>0</v>
      </c>
      <c r="G519" s="20">
        <v>0</v>
      </c>
    </row>
    <row r="520" spans="1:9" ht="31.5" outlineLevel="2" x14ac:dyDescent="0.25">
      <c r="A520" s="23" t="s">
        <v>606</v>
      </c>
      <c r="B520" s="19" t="s">
        <v>58</v>
      </c>
      <c r="C520" s="19" t="s">
        <v>608</v>
      </c>
      <c r="D520" s="19"/>
      <c r="E520" s="20">
        <f>E521</f>
        <v>15372.1</v>
      </c>
      <c r="F520" s="20">
        <f t="shared" ref="F520:G520" si="197">F521</f>
        <v>0</v>
      </c>
      <c r="G520" s="20">
        <f t="shared" si="197"/>
        <v>0</v>
      </c>
    </row>
    <row r="521" spans="1:9" ht="31.5" outlineLevel="2" x14ac:dyDescent="0.25">
      <c r="A521" s="23" t="s">
        <v>76</v>
      </c>
      <c r="B521" s="19" t="s">
        <v>58</v>
      </c>
      <c r="C521" s="19" t="s">
        <v>608</v>
      </c>
      <c r="D521" s="19">
        <v>200</v>
      </c>
      <c r="E521" s="20">
        <v>15372.1</v>
      </c>
      <c r="F521" s="20">
        <v>0</v>
      </c>
      <c r="G521" s="20">
        <v>0</v>
      </c>
    </row>
    <row r="522" spans="1:9" ht="47.25" outlineLevel="2" x14ac:dyDescent="0.25">
      <c r="A522" s="23" t="s">
        <v>607</v>
      </c>
      <c r="B522" s="19" t="s">
        <v>58</v>
      </c>
      <c r="C522" s="19" t="s">
        <v>609</v>
      </c>
      <c r="D522" s="19"/>
      <c r="E522" s="20">
        <f>E523</f>
        <v>2368</v>
      </c>
      <c r="F522" s="20">
        <f t="shared" ref="F522:G538" si="198">F523</f>
        <v>0</v>
      </c>
      <c r="G522" s="20">
        <f t="shared" si="198"/>
        <v>0</v>
      </c>
    </row>
    <row r="523" spans="1:9" ht="31.5" outlineLevel="2" x14ac:dyDescent="0.25">
      <c r="A523" s="23" t="s">
        <v>76</v>
      </c>
      <c r="B523" s="19" t="s">
        <v>58</v>
      </c>
      <c r="C523" s="19" t="s">
        <v>609</v>
      </c>
      <c r="D523" s="19">
        <v>200</v>
      </c>
      <c r="E523" s="20">
        <f>2270.1+97.9</f>
        <v>2368</v>
      </c>
      <c r="F523" s="20">
        <v>0</v>
      </c>
      <c r="G523" s="20">
        <v>0</v>
      </c>
    </row>
    <row r="524" spans="1:9" ht="47.25" outlineLevel="2" x14ac:dyDescent="0.25">
      <c r="A524" s="23" t="s">
        <v>717</v>
      </c>
      <c r="B524" s="19" t="s">
        <v>58</v>
      </c>
      <c r="C524" s="19" t="s">
        <v>719</v>
      </c>
      <c r="D524" s="19"/>
      <c r="E524" s="20">
        <f>E525</f>
        <v>52337.1</v>
      </c>
      <c r="F524" s="20">
        <f t="shared" si="198"/>
        <v>0</v>
      </c>
      <c r="G524" s="20">
        <f t="shared" si="198"/>
        <v>0</v>
      </c>
    </row>
    <row r="525" spans="1:9" ht="31.5" outlineLevel="2" x14ac:dyDescent="0.25">
      <c r="A525" s="23" t="s">
        <v>76</v>
      </c>
      <c r="B525" s="19" t="s">
        <v>58</v>
      </c>
      <c r="C525" s="19" t="s">
        <v>719</v>
      </c>
      <c r="D525" s="19">
        <v>200</v>
      </c>
      <c r="E525" s="20">
        <f>20367.2+3960.3+28009.6</f>
        <v>52337.1</v>
      </c>
      <c r="F525" s="20">
        <v>0</v>
      </c>
      <c r="G525" s="20">
        <v>0</v>
      </c>
    </row>
    <row r="526" spans="1:9" ht="31.5" outlineLevel="2" x14ac:dyDescent="0.25">
      <c r="A526" s="23" t="s">
        <v>718</v>
      </c>
      <c r="B526" s="19" t="s">
        <v>58</v>
      </c>
      <c r="C526" s="19" t="s">
        <v>720</v>
      </c>
      <c r="D526" s="19"/>
      <c r="E526" s="20">
        <f t="shared" ref="E526" si="199">E527</f>
        <v>5990.9</v>
      </c>
      <c r="F526" s="20">
        <f t="shared" si="198"/>
        <v>0</v>
      </c>
      <c r="G526" s="20">
        <f t="shared" si="198"/>
        <v>0</v>
      </c>
    </row>
    <row r="527" spans="1:9" ht="31.5" outlineLevel="2" x14ac:dyDescent="0.25">
      <c r="A527" s="23" t="s">
        <v>76</v>
      </c>
      <c r="B527" s="19" t="s">
        <v>58</v>
      </c>
      <c r="C527" s="19" t="s">
        <v>720</v>
      </c>
      <c r="D527" s="19" t="s">
        <v>39</v>
      </c>
      <c r="E527" s="20">
        <f>6815.5-824.6</f>
        <v>5990.9</v>
      </c>
      <c r="F527" s="20">
        <v>0</v>
      </c>
      <c r="G527" s="20">
        <v>0</v>
      </c>
    </row>
    <row r="528" spans="1:9" ht="47.25" outlineLevel="2" x14ac:dyDescent="0.25">
      <c r="A528" s="23" t="s">
        <v>752</v>
      </c>
      <c r="B528" s="19" t="s">
        <v>58</v>
      </c>
      <c r="C528" s="19" t="s">
        <v>753</v>
      </c>
      <c r="D528" s="19"/>
      <c r="E528" s="20">
        <f>E529</f>
        <v>435.8</v>
      </c>
      <c r="F528" s="20">
        <f t="shared" ref="F528:G528" si="200">F529</f>
        <v>0</v>
      </c>
      <c r="G528" s="20">
        <f t="shared" si="200"/>
        <v>0</v>
      </c>
    </row>
    <row r="529" spans="1:7" ht="31.5" outlineLevel="2" x14ac:dyDescent="0.25">
      <c r="A529" s="23" t="s">
        <v>76</v>
      </c>
      <c r="B529" s="19" t="s">
        <v>58</v>
      </c>
      <c r="C529" s="19" t="s">
        <v>753</v>
      </c>
      <c r="D529" s="19" t="s">
        <v>39</v>
      </c>
      <c r="E529" s="20">
        <v>435.8</v>
      </c>
      <c r="F529" s="20">
        <v>0</v>
      </c>
      <c r="G529" s="20">
        <v>0</v>
      </c>
    </row>
    <row r="530" spans="1:7" ht="31.5" outlineLevel="2" x14ac:dyDescent="0.25">
      <c r="A530" s="23" t="s">
        <v>789</v>
      </c>
      <c r="B530" s="19" t="s">
        <v>58</v>
      </c>
      <c r="C530" s="19" t="s">
        <v>790</v>
      </c>
      <c r="D530" s="19"/>
      <c r="E530" s="20">
        <f>+E531</f>
        <v>4666.8</v>
      </c>
      <c r="F530" s="20">
        <f t="shared" ref="F530:G530" si="201">+F531</f>
        <v>0</v>
      </c>
      <c r="G530" s="20">
        <f t="shared" si="201"/>
        <v>0</v>
      </c>
    </row>
    <row r="531" spans="1:7" ht="31.5" outlineLevel="2" x14ac:dyDescent="0.25">
      <c r="A531" s="23" t="s">
        <v>76</v>
      </c>
      <c r="B531" s="19" t="s">
        <v>58</v>
      </c>
      <c r="C531" s="19" t="s">
        <v>790</v>
      </c>
      <c r="D531" s="19" t="s">
        <v>39</v>
      </c>
      <c r="E531" s="20">
        <v>4666.8</v>
      </c>
      <c r="F531" s="20"/>
      <c r="G531" s="20"/>
    </row>
    <row r="532" spans="1:7" ht="31.5" outlineLevel="2" x14ac:dyDescent="0.25">
      <c r="A532" s="30" t="s">
        <v>800</v>
      </c>
      <c r="B532" s="19" t="s">
        <v>58</v>
      </c>
      <c r="C532" s="19" t="s">
        <v>801</v>
      </c>
      <c r="D532" s="19"/>
      <c r="E532" s="20">
        <f>+E533</f>
        <v>3259.3</v>
      </c>
      <c r="F532" s="20">
        <f t="shared" ref="F532" si="202">+F533</f>
        <v>18469.599999999999</v>
      </c>
      <c r="G532" s="20">
        <f t="shared" ref="G532" si="203">+G533</f>
        <v>0</v>
      </c>
    </row>
    <row r="533" spans="1:7" ht="31.5" outlineLevel="2" x14ac:dyDescent="0.25">
      <c r="A533" s="30" t="s">
        <v>76</v>
      </c>
      <c r="B533" s="19" t="s">
        <v>58</v>
      </c>
      <c r="C533" s="19" t="s">
        <v>801</v>
      </c>
      <c r="D533" s="19" t="s">
        <v>39</v>
      </c>
      <c r="E533" s="20">
        <v>3259.3</v>
      </c>
      <c r="F533" s="20">
        <v>18469.599999999999</v>
      </c>
      <c r="G533" s="20"/>
    </row>
    <row r="534" spans="1:7" ht="47.25" outlineLevel="2" x14ac:dyDescent="0.25">
      <c r="A534" s="23" t="s">
        <v>758</v>
      </c>
      <c r="B534" s="19" t="s">
        <v>58</v>
      </c>
      <c r="C534" s="19" t="s">
        <v>759</v>
      </c>
      <c r="D534" s="19"/>
      <c r="E534" s="20">
        <f>E535</f>
        <v>2572.1</v>
      </c>
      <c r="F534" s="20">
        <f t="shared" ref="F534:G534" si="204">F535</f>
        <v>0</v>
      </c>
      <c r="G534" s="20">
        <f t="shared" si="204"/>
        <v>0</v>
      </c>
    </row>
    <row r="535" spans="1:7" ht="31.5" outlineLevel="2" x14ac:dyDescent="0.25">
      <c r="A535" s="23" t="s">
        <v>76</v>
      </c>
      <c r="B535" s="19" t="s">
        <v>58</v>
      </c>
      <c r="C535" s="19" t="s">
        <v>759</v>
      </c>
      <c r="D535" s="19" t="s">
        <v>39</v>
      </c>
      <c r="E535" s="20">
        <v>2572.1</v>
      </c>
      <c r="F535" s="20">
        <v>0</v>
      </c>
      <c r="G535" s="20">
        <v>0</v>
      </c>
    </row>
    <row r="536" spans="1:7" ht="31.5" outlineLevel="2" x14ac:dyDescent="0.25">
      <c r="A536" s="30" t="s">
        <v>844</v>
      </c>
      <c r="B536" s="19" t="s">
        <v>58</v>
      </c>
      <c r="C536" s="19" t="s">
        <v>845</v>
      </c>
      <c r="D536" s="19"/>
      <c r="E536" s="20">
        <f>+E537</f>
        <v>600</v>
      </c>
      <c r="F536" s="20">
        <f t="shared" ref="F536:G536" si="205">+F537</f>
        <v>0</v>
      </c>
      <c r="G536" s="20">
        <f t="shared" si="205"/>
        <v>0</v>
      </c>
    </row>
    <row r="537" spans="1:7" ht="31.5" outlineLevel="2" x14ac:dyDescent="0.25">
      <c r="A537" s="30" t="s">
        <v>76</v>
      </c>
      <c r="B537" s="19" t="s">
        <v>58</v>
      </c>
      <c r="C537" s="19" t="s">
        <v>845</v>
      </c>
      <c r="D537" s="19" t="s">
        <v>39</v>
      </c>
      <c r="E537" s="20">
        <v>600</v>
      </c>
      <c r="F537" s="20"/>
      <c r="G537" s="20"/>
    </row>
    <row r="538" spans="1:7" ht="94.5" outlineLevel="2" x14ac:dyDescent="0.25">
      <c r="A538" s="21" t="s">
        <v>703</v>
      </c>
      <c r="B538" s="19" t="s">
        <v>58</v>
      </c>
      <c r="C538" s="19" t="s">
        <v>728</v>
      </c>
      <c r="D538" s="19"/>
      <c r="E538" s="20">
        <f t="shared" ref="E538" si="206">E539</f>
        <v>9000</v>
      </c>
      <c r="F538" s="20">
        <f t="shared" si="198"/>
        <v>0</v>
      </c>
      <c r="G538" s="20">
        <f t="shared" si="198"/>
        <v>0</v>
      </c>
    </row>
    <row r="539" spans="1:7" ht="47.25" outlineLevel="2" x14ac:dyDescent="0.25">
      <c r="A539" s="18" t="s">
        <v>94</v>
      </c>
      <c r="B539" s="19" t="s">
        <v>58</v>
      </c>
      <c r="C539" s="19" t="s">
        <v>728</v>
      </c>
      <c r="D539" s="19" t="s">
        <v>95</v>
      </c>
      <c r="E539" s="20">
        <v>9000</v>
      </c>
      <c r="F539" s="20">
        <v>0</v>
      </c>
      <c r="G539" s="20">
        <v>0</v>
      </c>
    </row>
    <row r="540" spans="1:7" ht="94.5" outlineLevel="2" x14ac:dyDescent="0.25">
      <c r="A540" s="30" t="s">
        <v>537</v>
      </c>
      <c r="B540" s="19" t="s">
        <v>58</v>
      </c>
      <c r="C540" s="19" t="s">
        <v>539</v>
      </c>
      <c r="D540" s="19"/>
      <c r="E540" s="20">
        <f>E541</f>
        <v>16116.699999999999</v>
      </c>
      <c r="F540" s="20">
        <f t="shared" ref="F540:G540" si="207">F541</f>
        <v>8524.1999999999989</v>
      </c>
      <c r="G540" s="20">
        <f t="shared" si="207"/>
        <v>0</v>
      </c>
    </row>
    <row r="541" spans="1:7" ht="31.5" outlineLevel="2" x14ac:dyDescent="0.25">
      <c r="A541" s="30" t="s">
        <v>76</v>
      </c>
      <c r="B541" s="19" t="s">
        <v>58</v>
      </c>
      <c r="C541" s="19" t="s">
        <v>539</v>
      </c>
      <c r="D541" s="19" t="s">
        <v>39</v>
      </c>
      <c r="E541" s="20">
        <v>16116.699999999999</v>
      </c>
      <c r="F541" s="20">
        <v>8524.1999999999989</v>
      </c>
      <c r="G541" s="20">
        <v>0</v>
      </c>
    </row>
    <row r="542" spans="1:7" ht="31.5" outlineLevel="2" x14ac:dyDescent="0.25">
      <c r="A542" s="30" t="s">
        <v>538</v>
      </c>
      <c r="B542" s="19" t="s">
        <v>58</v>
      </c>
      <c r="C542" s="19" t="s">
        <v>540</v>
      </c>
      <c r="D542" s="19"/>
      <c r="E542" s="20">
        <f>E543</f>
        <v>174854.7</v>
      </c>
      <c r="F542" s="20">
        <f t="shared" ref="F542:G542" si="208">F543</f>
        <v>162240.79999999999</v>
      </c>
      <c r="G542" s="20">
        <f t="shared" si="208"/>
        <v>112766</v>
      </c>
    </row>
    <row r="543" spans="1:7" ht="31.5" outlineLevel="2" x14ac:dyDescent="0.25">
      <c r="A543" s="30" t="s">
        <v>76</v>
      </c>
      <c r="B543" s="19" t="s">
        <v>58</v>
      </c>
      <c r="C543" s="19" t="s">
        <v>540</v>
      </c>
      <c r="D543" s="19" t="s">
        <v>39</v>
      </c>
      <c r="E543" s="20">
        <f>128832.5+2008.8+15000+1595.7+25000+822+1595.7</f>
        <v>174854.7</v>
      </c>
      <c r="F543" s="20">
        <f>112766-2968.5+2968.5+2968.5+46506.3</f>
        <v>162240.79999999999</v>
      </c>
      <c r="G543" s="20">
        <v>112766</v>
      </c>
    </row>
    <row r="544" spans="1:7" outlineLevel="2" x14ac:dyDescent="0.25">
      <c r="A544" s="33" t="s">
        <v>144</v>
      </c>
      <c r="B544" s="31" t="s">
        <v>58</v>
      </c>
      <c r="C544" s="31" t="s">
        <v>407</v>
      </c>
      <c r="D544" s="25"/>
      <c r="E544" s="20">
        <f>E545</f>
        <v>756538.3</v>
      </c>
      <c r="F544" s="20">
        <f t="shared" ref="F544:G544" si="209">F545</f>
        <v>514161.79999999993</v>
      </c>
      <c r="G544" s="20">
        <f t="shared" si="209"/>
        <v>524715.4</v>
      </c>
    </row>
    <row r="545" spans="1:7" ht="47.25" outlineLevel="2" x14ac:dyDescent="0.25">
      <c r="A545" s="33" t="s">
        <v>408</v>
      </c>
      <c r="B545" s="31" t="s">
        <v>58</v>
      </c>
      <c r="C545" s="31" t="s">
        <v>409</v>
      </c>
      <c r="D545" s="25"/>
      <c r="E545" s="20">
        <f>E546+E550+E548+E553+E555+E557+E559+E561+E563+E565+E567+E573+E575+E583+E569+E577+E571+E581+E579</f>
        <v>756538.3</v>
      </c>
      <c r="F545" s="20">
        <f t="shared" ref="F545:G545" si="210">F546+F550+F548+F553+F555+F557+F559+F561+F563+F565+F567+F573+F575+F583+F569+F577+F571+F581</f>
        <v>514161.79999999993</v>
      </c>
      <c r="G545" s="20">
        <f t="shared" si="210"/>
        <v>524715.4</v>
      </c>
    </row>
    <row r="546" spans="1:7" ht="31.5" outlineLevel="2" x14ac:dyDescent="0.25">
      <c r="A546" s="30" t="s">
        <v>410</v>
      </c>
      <c r="B546" s="31" t="s">
        <v>58</v>
      </c>
      <c r="C546" s="24" t="s">
        <v>411</v>
      </c>
      <c r="D546" s="25"/>
      <c r="E546" s="20">
        <f>E547</f>
        <v>20010.099999999999</v>
      </c>
      <c r="F546" s="20">
        <f t="shared" ref="F546:G546" si="211">F547</f>
        <v>2010.1</v>
      </c>
      <c r="G546" s="20">
        <f t="shared" si="211"/>
        <v>2010.1</v>
      </c>
    </row>
    <row r="547" spans="1:7" ht="31.5" outlineLevel="2" x14ac:dyDescent="0.25">
      <c r="A547" s="21" t="s">
        <v>76</v>
      </c>
      <c r="B547" s="31" t="s">
        <v>58</v>
      </c>
      <c r="C547" s="24" t="s">
        <v>411</v>
      </c>
      <c r="D547" s="25">
        <v>200</v>
      </c>
      <c r="E547" s="20">
        <v>20010.099999999999</v>
      </c>
      <c r="F547" s="20">
        <v>2010.1</v>
      </c>
      <c r="G547" s="20">
        <v>2010.1</v>
      </c>
    </row>
    <row r="548" spans="1:7" ht="36" customHeight="1" outlineLevel="2" x14ac:dyDescent="0.25">
      <c r="A548" s="21" t="s">
        <v>511</v>
      </c>
      <c r="B548" s="31" t="s">
        <v>58</v>
      </c>
      <c r="C548" s="24" t="s">
        <v>412</v>
      </c>
      <c r="D548" s="25"/>
      <c r="E548" s="20">
        <f>E549</f>
        <v>24884.800000000003</v>
      </c>
      <c r="F548" s="20">
        <f t="shared" ref="F548:G548" si="212">F549</f>
        <v>0</v>
      </c>
      <c r="G548" s="20">
        <f t="shared" si="212"/>
        <v>0</v>
      </c>
    </row>
    <row r="549" spans="1:7" ht="31.5" outlineLevel="2" x14ac:dyDescent="0.25">
      <c r="A549" s="21" t="s">
        <v>76</v>
      </c>
      <c r="B549" s="24" t="s">
        <v>58</v>
      </c>
      <c r="C549" s="24" t="s">
        <v>412</v>
      </c>
      <c r="D549" s="25">
        <v>200</v>
      </c>
      <c r="E549" s="20">
        <f>25068.4+768.4+1107.8-2059.8</f>
        <v>24884.800000000003</v>
      </c>
      <c r="F549" s="20">
        <v>0</v>
      </c>
      <c r="G549" s="20">
        <v>0</v>
      </c>
    </row>
    <row r="550" spans="1:7" ht="31.5" outlineLevel="2" x14ac:dyDescent="0.25">
      <c r="A550" s="21" t="s">
        <v>413</v>
      </c>
      <c r="B550" s="24" t="s">
        <v>58</v>
      </c>
      <c r="C550" s="19" t="s">
        <v>414</v>
      </c>
      <c r="D550" s="10"/>
      <c r="E550" s="20">
        <f>E552+E551</f>
        <v>118187.19999999998</v>
      </c>
      <c r="F550" s="20">
        <f t="shared" ref="F550:G550" si="213">F552+F551</f>
        <v>21988</v>
      </c>
      <c r="G550" s="20">
        <f t="shared" si="213"/>
        <v>21988</v>
      </c>
    </row>
    <row r="551" spans="1:7" ht="31.5" outlineLevel="2" x14ac:dyDescent="0.25">
      <c r="A551" s="30" t="s">
        <v>76</v>
      </c>
      <c r="B551" s="19" t="s">
        <v>58</v>
      </c>
      <c r="C551" s="19" t="s">
        <v>414</v>
      </c>
      <c r="D551" s="19" t="s">
        <v>39</v>
      </c>
      <c r="E551" s="20">
        <f>65727.5-18957.4</f>
        <v>46770.1</v>
      </c>
      <c r="F551" s="20">
        <v>0</v>
      </c>
      <c r="G551" s="20">
        <v>0</v>
      </c>
    </row>
    <row r="552" spans="1:7" ht="47.25" outlineLevel="2" x14ac:dyDescent="0.25">
      <c r="A552" s="21" t="s">
        <v>94</v>
      </c>
      <c r="B552" s="24" t="s">
        <v>58</v>
      </c>
      <c r="C552" s="19" t="s">
        <v>414</v>
      </c>
      <c r="D552" s="10">
        <v>600</v>
      </c>
      <c r="E552" s="20">
        <f>52459.7+15000+3957.4</f>
        <v>71417.099999999991</v>
      </c>
      <c r="F552" s="20">
        <v>21988</v>
      </c>
      <c r="G552" s="20">
        <v>21988</v>
      </c>
    </row>
    <row r="553" spans="1:7" ht="31.5" outlineLevel="2" x14ac:dyDescent="0.25">
      <c r="A553" s="52" t="s">
        <v>415</v>
      </c>
      <c r="B553" s="24" t="s">
        <v>58</v>
      </c>
      <c r="C553" s="24" t="s">
        <v>416</v>
      </c>
      <c r="D553" s="25"/>
      <c r="E553" s="20">
        <f>E554</f>
        <v>332.5</v>
      </c>
      <c r="F553" s="20">
        <f t="shared" ref="F553:G553" si="214">F554</f>
        <v>350</v>
      </c>
      <c r="G553" s="20">
        <f t="shared" si="214"/>
        <v>350</v>
      </c>
    </row>
    <row r="554" spans="1:7" ht="31.5" outlineLevel="2" x14ac:dyDescent="0.25">
      <c r="A554" s="21" t="s">
        <v>76</v>
      </c>
      <c r="B554" s="24" t="s">
        <v>58</v>
      </c>
      <c r="C554" s="24" t="s">
        <v>416</v>
      </c>
      <c r="D554" s="25">
        <v>200</v>
      </c>
      <c r="E554" s="20">
        <v>332.5</v>
      </c>
      <c r="F554" s="20">
        <v>350</v>
      </c>
      <c r="G554" s="20">
        <v>350</v>
      </c>
    </row>
    <row r="555" spans="1:7" ht="31.5" outlineLevel="2" x14ac:dyDescent="0.25">
      <c r="A555" s="33" t="s">
        <v>417</v>
      </c>
      <c r="B555" s="24" t="s">
        <v>58</v>
      </c>
      <c r="C555" s="24" t="s">
        <v>418</v>
      </c>
      <c r="D555" s="25"/>
      <c r="E555" s="20">
        <f>E556</f>
        <v>249</v>
      </c>
      <c r="F555" s="20">
        <f t="shared" ref="F555:G555" si="215">F556</f>
        <v>312</v>
      </c>
      <c r="G555" s="20">
        <f t="shared" si="215"/>
        <v>324.5</v>
      </c>
    </row>
    <row r="556" spans="1:7" ht="31.5" outlineLevel="2" x14ac:dyDescent="0.25">
      <c r="A556" s="21" t="s">
        <v>76</v>
      </c>
      <c r="B556" s="24" t="s">
        <v>58</v>
      </c>
      <c r="C556" s="24" t="s">
        <v>418</v>
      </c>
      <c r="D556" s="25">
        <v>200</v>
      </c>
      <c r="E556" s="20">
        <v>249</v>
      </c>
      <c r="F556" s="20">
        <v>312</v>
      </c>
      <c r="G556" s="20">
        <v>324.5</v>
      </c>
    </row>
    <row r="557" spans="1:7" ht="47.25" outlineLevel="2" x14ac:dyDescent="0.25">
      <c r="A557" s="33" t="s">
        <v>419</v>
      </c>
      <c r="B557" s="24" t="s">
        <v>58</v>
      </c>
      <c r="C557" s="24" t="s">
        <v>420</v>
      </c>
      <c r="D557" s="25"/>
      <c r="E557" s="20">
        <f>E558</f>
        <v>113608.7</v>
      </c>
      <c r="F557" s="20">
        <f t="shared" ref="F557:G557" si="216">F558</f>
        <v>31200</v>
      </c>
      <c r="G557" s="20">
        <f t="shared" si="216"/>
        <v>32448</v>
      </c>
    </row>
    <row r="558" spans="1:7" ht="31.5" outlineLevel="2" x14ac:dyDescent="0.25">
      <c r="A558" s="21" t="s">
        <v>76</v>
      </c>
      <c r="B558" s="24" t="s">
        <v>58</v>
      </c>
      <c r="C558" s="24" t="s">
        <v>420</v>
      </c>
      <c r="D558" s="25">
        <v>200</v>
      </c>
      <c r="E558" s="20">
        <f>30000+67600+17307.5-1298.8</f>
        <v>113608.7</v>
      </c>
      <c r="F558" s="20">
        <v>31200</v>
      </c>
      <c r="G558" s="20">
        <v>32448</v>
      </c>
    </row>
    <row r="559" spans="1:7" ht="47.25" outlineLevel="2" x14ac:dyDescent="0.25">
      <c r="A559" s="33" t="s">
        <v>421</v>
      </c>
      <c r="B559" s="24" t="s">
        <v>58</v>
      </c>
      <c r="C559" s="24" t="s">
        <v>422</v>
      </c>
      <c r="D559" s="25"/>
      <c r="E559" s="20">
        <f>E560</f>
        <v>1077.7</v>
      </c>
      <c r="F559" s="20">
        <f t="shared" ref="F559:G559" si="217">F560</f>
        <v>187.2</v>
      </c>
      <c r="G559" s="20">
        <f t="shared" si="217"/>
        <v>194.7</v>
      </c>
    </row>
    <row r="560" spans="1:7" ht="31.5" outlineLevel="2" x14ac:dyDescent="0.25">
      <c r="A560" s="21" t="s">
        <v>76</v>
      </c>
      <c r="B560" s="24" t="s">
        <v>58</v>
      </c>
      <c r="C560" s="24" t="s">
        <v>422</v>
      </c>
      <c r="D560" s="25">
        <v>200</v>
      </c>
      <c r="E560" s="20">
        <f>1641.2-563.5</f>
        <v>1077.7</v>
      </c>
      <c r="F560" s="20">
        <v>187.2</v>
      </c>
      <c r="G560" s="20">
        <v>194.7</v>
      </c>
    </row>
    <row r="561" spans="1:7" ht="47.25" outlineLevel="2" x14ac:dyDescent="0.25">
      <c r="A561" s="33" t="s">
        <v>423</v>
      </c>
      <c r="B561" s="24" t="s">
        <v>58</v>
      </c>
      <c r="C561" s="24" t="s">
        <v>424</v>
      </c>
      <c r="D561" s="25"/>
      <c r="E561" s="20">
        <f>E562</f>
        <v>3000</v>
      </c>
      <c r="F561" s="20">
        <f t="shared" ref="F561:G561" si="218">F562</f>
        <v>3000</v>
      </c>
      <c r="G561" s="20">
        <f t="shared" si="218"/>
        <v>3000</v>
      </c>
    </row>
    <row r="562" spans="1:7" ht="31.5" outlineLevel="2" x14ac:dyDescent="0.25">
      <c r="A562" s="21" t="s">
        <v>76</v>
      </c>
      <c r="B562" s="24" t="s">
        <v>58</v>
      </c>
      <c r="C562" s="24" t="s">
        <v>424</v>
      </c>
      <c r="D562" s="25">
        <v>200</v>
      </c>
      <c r="E562" s="20">
        <v>3000</v>
      </c>
      <c r="F562" s="20">
        <v>3000</v>
      </c>
      <c r="G562" s="20">
        <v>3000</v>
      </c>
    </row>
    <row r="563" spans="1:7" ht="31.5" outlineLevel="2" x14ac:dyDescent="0.25">
      <c r="A563" s="33" t="s">
        <v>425</v>
      </c>
      <c r="B563" s="24" t="s">
        <v>58</v>
      </c>
      <c r="C563" s="24" t="s">
        <v>426</v>
      </c>
      <c r="D563" s="25"/>
      <c r="E563" s="20">
        <f>E564</f>
        <v>83.8</v>
      </c>
      <c r="F563" s="20">
        <f t="shared" ref="F563:G563" si="219">F564</f>
        <v>0</v>
      </c>
      <c r="G563" s="20">
        <f t="shared" si="219"/>
        <v>0</v>
      </c>
    </row>
    <row r="564" spans="1:7" ht="31.5" outlineLevel="2" x14ac:dyDescent="0.25">
      <c r="A564" s="21" t="s">
        <v>76</v>
      </c>
      <c r="B564" s="24" t="s">
        <v>58</v>
      </c>
      <c r="C564" s="24" t="s">
        <v>426</v>
      </c>
      <c r="D564" s="25">
        <v>200</v>
      </c>
      <c r="E564" s="20">
        <f>88-4.2</f>
        <v>83.8</v>
      </c>
      <c r="F564" s="20">
        <v>0</v>
      </c>
      <c r="G564" s="20">
        <v>0</v>
      </c>
    </row>
    <row r="565" spans="1:7" ht="31.5" outlineLevel="2" x14ac:dyDescent="0.25">
      <c r="A565" s="33" t="s">
        <v>427</v>
      </c>
      <c r="B565" s="24" t="s">
        <v>58</v>
      </c>
      <c r="C565" s="24" t="s">
        <v>428</v>
      </c>
      <c r="D565" s="25"/>
      <c r="E565" s="20">
        <f>E566</f>
        <v>95.2</v>
      </c>
      <c r="F565" s="20">
        <f t="shared" ref="F565:G565" si="220">F566</f>
        <v>110</v>
      </c>
      <c r="G565" s="20">
        <f t="shared" si="220"/>
        <v>110</v>
      </c>
    </row>
    <row r="566" spans="1:7" ht="31.5" outlineLevel="2" x14ac:dyDescent="0.25">
      <c r="A566" s="21" t="s">
        <v>76</v>
      </c>
      <c r="B566" s="24" t="s">
        <v>58</v>
      </c>
      <c r="C566" s="24" t="s">
        <v>428</v>
      </c>
      <c r="D566" s="25">
        <v>200</v>
      </c>
      <c r="E566" s="20">
        <f>100-4.8</f>
        <v>95.2</v>
      </c>
      <c r="F566" s="20">
        <v>110</v>
      </c>
      <c r="G566" s="20">
        <v>110</v>
      </c>
    </row>
    <row r="567" spans="1:7" ht="31.5" outlineLevel="2" x14ac:dyDescent="0.25">
      <c r="A567" s="33" t="s">
        <v>526</v>
      </c>
      <c r="B567" s="24" t="s">
        <v>58</v>
      </c>
      <c r="C567" s="24" t="s">
        <v>429</v>
      </c>
      <c r="D567" s="25"/>
      <c r="E567" s="20">
        <f>E568</f>
        <v>370</v>
      </c>
      <c r="F567" s="20">
        <f t="shared" ref="F567:G569" si="221">F568</f>
        <v>0</v>
      </c>
      <c r="G567" s="20">
        <f t="shared" si="221"/>
        <v>0</v>
      </c>
    </row>
    <row r="568" spans="1:7" ht="31.5" outlineLevel="2" x14ac:dyDescent="0.25">
      <c r="A568" s="21" t="s">
        <v>76</v>
      </c>
      <c r="B568" s="24" t="s">
        <v>58</v>
      </c>
      <c r="C568" s="24" t="s">
        <v>429</v>
      </c>
      <c r="D568" s="25">
        <v>200</v>
      </c>
      <c r="E568" s="20">
        <v>370</v>
      </c>
      <c r="F568" s="20">
        <v>0</v>
      </c>
      <c r="G568" s="20">
        <v>0</v>
      </c>
    </row>
    <row r="569" spans="1:7" ht="31.5" outlineLevel="2" x14ac:dyDescent="0.25">
      <c r="A569" s="21" t="s">
        <v>721</v>
      </c>
      <c r="B569" s="19" t="s">
        <v>58</v>
      </c>
      <c r="C569" s="19" t="s">
        <v>722</v>
      </c>
      <c r="D569" s="19"/>
      <c r="E569" s="20">
        <f t="shared" ref="E569" si="222">E570</f>
        <v>1218.8000000000002</v>
      </c>
      <c r="F569" s="20">
        <f t="shared" si="221"/>
        <v>0</v>
      </c>
      <c r="G569" s="20">
        <f t="shared" si="221"/>
        <v>0</v>
      </c>
    </row>
    <row r="570" spans="1:7" ht="31.5" outlineLevel="2" x14ac:dyDescent="0.25">
      <c r="A570" s="21" t="s">
        <v>76</v>
      </c>
      <c r="B570" s="19" t="s">
        <v>58</v>
      </c>
      <c r="C570" s="19" t="s">
        <v>722</v>
      </c>
      <c r="D570" s="19" t="s">
        <v>39</v>
      </c>
      <c r="E570" s="20">
        <f>1846.7-627.9</f>
        <v>1218.8000000000002</v>
      </c>
      <c r="F570" s="20">
        <v>0</v>
      </c>
      <c r="G570" s="20">
        <v>0</v>
      </c>
    </row>
    <row r="571" spans="1:7" ht="31.5" outlineLevel="2" x14ac:dyDescent="0.25">
      <c r="A571" s="21" t="s">
        <v>754</v>
      </c>
      <c r="B571" s="19" t="s">
        <v>58</v>
      </c>
      <c r="C571" s="19" t="s">
        <v>755</v>
      </c>
      <c r="D571" s="19"/>
      <c r="E571" s="20">
        <f>E572</f>
        <v>1020</v>
      </c>
      <c r="F571" s="20">
        <f t="shared" ref="F571:G571" si="223">F572</f>
        <v>0</v>
      </c>
      <c r="G571" s="20">
        <f t="shared" si="223"/>
        <v>0</v>
      </c>
    </row>
    <row r="572" spans="1:7" ht="31.5" outlineLevel="2" x14ac:dyDescent="0.25">
      <c r="A572" s="18" t="s">
        <v>20</v>
      </c>
      <c r="B572" s="19" t="s">
        <v>58</v>
      </c>
      <c r="C572" s="19" t="s">
        <v>755</v>
      </c>
      <c r="D572" s="19" t="s">
        <v>558</v>
      </c>
      <c r="E572" s="20">
        <v>1020</v>
      </c>
      <c r="F572" s="20">
        <v>0</v>
      </c>
      <c r="G572" s="20">
        <v>0</v>
      </c>
    </row>
    <row r="573" spans="1:7" ht="63" outlineLevel="2" x14ac:dyDescent="0.25">
      <c r="A573" s="1" t="s">
        <v>430</v>
      </c>
      <c r="B573" s="24" t="s">
        <v>58</v>
      </c>
      <c r="C573" s="24" t="s">
        <v>431</v>
      </c>
      <c r="D573" s="25"/>
      <c r="E573" s="20">
        <f>E574</f>
        <v>207015.39999999997</v>
      </c>
      <c r="F573" s="20">
        <f t="shared" ref="F573:G573" si="224">F574</f>
        <v>180401.3</v>
      </c>
      <c r="G573" s="20">
        <f t="shared" si="224"/>
        <v>180708.8</v>
      </c>
    </row>
    <row r="574" spans="1:7" ht="47.25" outlineLevel="2" x14ac:dyDescent="0.25">
      <c r="A574" s="21" t="s">
        <v>94</v>
      </c>
      <c r="B574" s="24" t="s">
        <v>58</v>
      </c>
      <c r="C574" s="24" t="s">
        <v>431</v>
      </c>
      <c r="D574" s="25">
        <v>600</v>
      </c>
      <c r="E574" s="20">
        <f>190462.3+1061.8+15491.3</f>
        <v>207015.39999999997</v>
      </c>
      <c r="F574" s="20">
        <v>180401.3</v>
      </c>
      <c r="G574" s="20">
        <v>180708.8</v>
      </c>
    </row>
    <row r="575" spans="1:7" outlineLevel="2" x14ac:dyDescent="0.25">
      <c r="A575" s="21" t="s">
        <v>432</v>
      </c>
      <c r="B575" s="24" t="s">
        <v>58</v>
      </c>
      <c r="C575" s="24" t="s">
        <v>433</v>
      </c>
      <c r="D575" s="25"/>
      <c r="E575" s="20">
        <f>E576</f>
        <v>6177.6</v>
      </c>
      <c r="F575" s="20">
        <f t="shared" ref="F575:G575" si="225">F576</f>
        <v>5367.9</v>
      </c>
      <c r="G575" s="20">
        <f t="shared" si="225"/>
        <v>5367.9</v>
      </c>
    </row>
    <row r="576" spans="1:7" ht="47.25" outlineLevel="2" x14ac:dyDescent="0.25">
      <c r="A576" s="21" t="s">
        <v>94</v>
      </c>
      <c r="B576" s="24" t="s">
        <v>58</v>
      </c>
      <c r="C576" s="24" t="s">
        <v>433</v>
      </c>
      <c r="D576" s="25">
        <v>600</v>
      </c>
      <c r="E576" s="20">
        <v>6177.6</v>
      </c>
      <c r="F576" s="20">
        <v>5367.9</v>
      </c>
      <c r="G576" s="20">
        <v>5367.9</v>
      </c>
    </row>
    <row r="577" spans="1:7" ht="63" outlineLevel="2" x14ac:dyDescent="0.25">
      <c r="A577" s="21" t="s">
        <v>725</v>
      </c>
      <c r="B577" s="19" t="s">
        <v>58</v>
      </c>
      <c r="C577" s="19" t="s">
        <v>726</v>
      </c>
      <c r="D577" s="19"/>
      <c r="E577" s="20">
        <f t="shared" ref="E577:G577" si="226">E578</f>
        <v>9796.2999999999993</v>
      </c>
      <c r="F577" s="20">
        <f t="shared" si="226"/>
        <v>0</v>
      </c>
      <c r="G577" s="20">
        <f t="shared" si="226"/>
        <v>0</v>
      </c>
    </row>
    <row r="578" spans="1:7" ht="47.25" outlineLevel="2" x14ac:dyDescent="0.25">
      <c r="A578" s="21" t="s">
        <v>94</v>
      </c>
      <c r="B578" s="19" t="s">
        <v>58</v>
      </c>
      <c r="C578" s="19" t="s">
        <v>726</v>
      </c>
      <c r="D578" s="19" t="s">
        <v>95</v>
      </c>
      <c r="E578" s="20">
        <v>9796.2999999999993</v>
      </c>
      <c r="F578" s="20">
        <v>0</v>
      </c>
      <c r="G578" s="20">
        <v>0</v>
      </c>
    </row>
    <row r="579" spans="1:7" outlineLevel="2" x14ac:dyDescent="0.25">
      <c r="A579" s="21" t="s">
        <v>846</v>
      </c>
      <c r="B579" s="19" t="s">
        <v>58</v>
      </c>
      <c r="C579" s="19" t="s">
        <v>847</v>
      </c>
      <c r="D579" s="19"/>
      <c r="E579" s="20">
        <f>+E580</f>
        <v>2165.1</v>
      </c>
      <c r="F579" s="20">
        <f t="shared" ref="F579:G579" si="227">+F580</f>
        <v>0</v>
      </c>
      <c r="G579" s="20">
        <f t="shared" si="227"/>
        <v>0</v>
      </c>
    </row>
    <row r="580" spans="1:7" ht="31.5" outlineLevel="2" x14ac:dyDescent="0.25">
      <c r="A580" s="21" t="s">
        <v>76</v>
      </c>
      <c r="B580" s="19" t="s">
        <v>58</v>
      </c>
      <c r="C580" s="19" t="s">
        <v>847</v>
      </c>
      <c r="D580" s="19" t="s">
        <v>39</v>
      </c>
      <c r="E580" s="20">
        <f>1200+965.1</f>
        <v>2165.1</v>
      </c>
      <c r="F580" s="20"/>
      <c r="G580" s="20"/>
    </row>
    <row r="581" spans="1:7" ht="31.5" outlineLevel="2" x14ac:dyDescent="0.25">
      <c r="A581" s="21" t="s">
        <v>768</v>
      </c>
      <c r="B581" s="19" t="s">
        <v>58</v>
      </c>
      <c r="C581" s="19" t="s">
        <v>769</v>
      </c>
      <c r="D581" s="19"/>
      <c r="E581" s="20">
        <f>E582</f>
        <v>53.8</v>
      </c>
      <c r="F581" s="20">
        <f t="shared" ref="F581:G581" si="228">F582</f>
        <v>0</v>
      </c>
      <c r="G581" s="20">
        <f t="shared" si="228"/>
        <v>0</v>
      </c>
    </row>
    <row r="582" spans="1:7" ht="31.5" outlineLevel="2" x14ac:dyDescent="0.25">
      <c r="A582" s="21" t="s">
        <v>76</v>
      </c>
      <c r="B582" s="19" t="s">
        <v>58</v>
      </c>
      <c r="C582" s="19" t="s">
        <v>769</v>
      </c>
      <c r="D582" s="19" t="s">
        <v>39</v>
      </c>
      <c r="E582" s="20">
        <f>68.5-14.7</f>
        <v>53.8</v>
      </c>
      <c r="F582" s="20">
        <v>0</v>
      </c>
      <c r="G582" s="20">
        <v>0</v>
      </c>
    </row>
    <row r="583" spans="1:7" ht="78.75" outlineLevel="2" x14ac:dyDescent="0.25">
      <c r="A583" s="1" t="s">
        <v>434</v>
      </c>
      <c r="B583" s="24" t="s">
        <v>58</v>
      </c>
      <c r="C583" s="24" t="s">
        <v>435</v>
      </c>
      <c r="D583" s="25"/>
      <c r="E583" s="20">
        <f>E584</f>
        <v>247192.3</v>
      </c>
      <c r="F583" s="20">
        <f>F584</f>
        <v>269235.3</v>
      </c>
      <c r="G583" s="20">
        <f>G584</f>
        <v>278213.40000000002</v>
      </c>
    </row>
    <row r="584" spans="1:7" outlineLevel="2" x14ac:dyDescent="0.25">
      <c r="A584" s="42" t="s">
        <v>33</v>
      </c>
      <c r="B584" s="24" t="s">
        <v>58</v>
      </c>
      <c r="C584" s="24" t="s">
        <v>435</v>
      </c>
      <c r="D584" s="25">
        <v>800</v>
      </c>
      <c r="E584" s="20">
        <f>256430.9+18274.4-27513</f>
        <v>247192.3</v>
      </c>
      <c r="F584" s="20">
        <v>269235.3</v>
      </c>
      <c r="G584" s="20">
        <v>278213.40000000002</v>
      </c>
    </row>
    <row r="585" spans="1:7" ht="31.5" outlineLevel="1" x14ac:dyDescent="0.25">
      <c r="A585" s="23" t="s">
        <v>88</v>
      </c>
      <c r="B585" s="19" t="s">
        <v>89</v>
      </c>
      <c r="C585" s="19"/>
      <c r="D585" s="10"/>
      <c r="E585" s="20">
        <f>E586+E591+E599</f>
        <v>319175</v>
      </c>
      <c r="F585" s="20">
        <f>F586+F591+F599</f>
        <v>207615.9</v>
      </c>
      <c r="G585" s="20">
        <f>G586+G591+G599</f>
        <v>211565</v>
      </c>
    </row>
    <row r="586" spans="1:7" ht="47.25" outlineLevel="2" x14ac:dyDescent="0.25">
      <c r="A586" s="30" t="s">
        <v>59</v>
      </c>
      <c r="B586" s="24" t="s">
        <v>89</v>
      </c>
      <c r="C586" s="24" t="s">
        <v>60</v>
      </c>
      <c r="D586" s="25"/>
      <c r="E586" s="20">
        <f>E587</f>
        <v>1.5</v>
      </c>
      <c r="F586" s="20">
        <f t="shared" ref="F586:G589" si="229">F587</f>
        <v>1.5</v>
      </c>
      <c r="G586" s="20">
        <f t="shared" si="229"/>
        <v>1.5</v>
      </c>
    </row>
    <row r="587" spans="1:7" outlineLevel="2" x14ac:dyDescent="0.25">
      <c r="A587" s="33" t="s">
        <v>144</v>
      </c>
      <c r="B587" s="31" t="s">
        <v>89</v>
      </c>
      <c r="C587" s="31" t="s">
        <v>135</v>
      </c>
      <c r="D587" s="25"/>
      <c r="E587" s="20">
        <f>E588</f>
        <v>1.5</v>
      </c>
      <c r="F587" s="20">
        <f t="shared" si="229"/>
        <v>1.5</v>
      </c>
      <c r="G587" s="20">
        <f t="shared" si="229"/>
        <v>1.5</v>
      </c>
    </row>
    <row r="588" spans="1:7" ht="110.25" outlineLevel="2" x14ac:dyDescent="0.25">
      <c r="A588" s="30" t="s">
        <v>400</v>
      </c>
      <c r="B588" s="24" t="s">
        <v>89</v>
      </c>
      <c r="C588" s="24" t="s">
        <v>401</v>
      </c>
      <c r="D588" s="25"/>
      <c r="E588" s="20">
        <f>E589</f>
        <v>1.5</v>
      </c>
      <c r="F588" s="20">
        <f t="shared" si="229"/>
        <v>1.5</v>
      </c>
      <c r="G588" s="20">
        <f t="shared" si="229"/>
        <v>1.5</v>
      </c>
    </row>
    <row r="589" spans="1:7" ht="173.25" outlineLevel="2" x14ac:dyDescent="0.25">
      <c r="A589" s="1" t="s">
        <v>436</v>
      </c>
      <c r="B589" s="24" t="s">
        <v>89</v>
      </c>
      <c r="C589" s="24" t="s">
        <v>437</v>
      </c>
      <c r="D589" s="25"/>
      <c r="E589" s="20">
        <f>E590</f>
        <v>1.5</v>
      </c>
      <c r="F589" s="20">
        <f t="shared" si="229"/>
        <v>1.5</v>
      </c>
      <c r="G589" s="20">
        <f t="shared" si="229"/>
        <v>1.5</v>
      </c>
    </row>
    <row r="590" spans="1:7" ht="31.5" outlineLevel="2" x14ac:dyDescent="0.25">
      <c r="A590" s="42" t="s">
        <v>76</v>
      </c>
      <c r="B590" s="24" t="s">
        <v>89</v>
      </c>
      <c r="C590" s="24" t="s">
        <v>437</v>
      </c>
      <c r="D590" s="25">
        <v>200</v>
      </c>
      <c r="E590" s="20">
        <v>1.5</v>
      </c>
      <c r="F590" s="20">
        <v>1.5</v>
      </c>
      <c r="G590" s="20">
        <v>1.5</v>
      </c>
    </row>
    <row r="591" spans="1:7" ht="78.75" outlineLevel="2" x14ac:dyDescent="0.25">
      <c r="A591" s="34" t="s">
        <v>347</v>
      </c>
      <c r="B591" s="19" t="s">
        <v>89</v>
      </c>
      <c r="C591" s="19" t="s">
        <v>54</v>
      </c>
      <c r="D591" s="10"/>
      <c r="E591" s="20">
        <f>E592</f>
        <v>95941.9</v>
      </c>
      <c r="F591" s="20">
        <f t="shared" ref="F591:G593" si="230">F592</f>
        <v>82051.200000000012</v>
      </c>
      <c r="G591" s="20">
        <f t="shared" si="230"/>
        <v>82051.200000000012</v>
      </c>
    </row>
    <row r="592" spans="1:7" outlineLevel="2" x14ac:dyDescent="0.25">
      <c r="A592" s="33" t="s">
        <v>144</v>
      </c>
      <c r="B592" s="19" t="s">
        <v>89</v>
      </c>
      <c r="C592" s="19" t="s">
        <v>83</v>
      </c>
      <c r="D592" s="10"/>
      <c r="E592" s="20">
        <f>E593</f>
        <v>95941.9</v>
      </c>
      <c r="F592" s="20">
        <f t="shared" si="230"/>
        <v>82051.200000000012</v>
      </c>
      <c r="G592" s="20">
        <f t="shared" si="230"/>
        <v>82051.200000000012</v>
      </c>
    </row>
    <row r="593" spans="1:7" ht="78.75" outlineLevel="2" x14ac:dyDescent="0.25">
      <c r="A593" s="33" t="s">
        <v>438</v>
      </c>
      <c r="B593" s="19" t="s">
        <v>89</v>
      </c>
      <c r="C593" s="19" t="s">
        <v>439</v>
      </c>
      <c r="D593" s="10"/>
      <c r="E593" s="20">
        <f>E594</f>
        <v>95941.9</v>
      </c>
      <c r="F593" s="20">
        <f t="shared" si="230"/>
        <v>82051.200000000012</v>
      </c>
      <c r="G593" s="20">
        <f t="shared" si="230"/>
        <v>82051.200000000012</v>
      </c>
    </row>
    <row r="594" spans="1:7" ht="47.25" outlineLevel="2" x14ac:dyDescent="0.25">
      <c r="A594" s="9" t="s">
        <v>159</v>
      </c>
      <c r="B594" s="19" t="s">
        <v>89</v>
      </c>
      <c r="C594" s="19" t="s">
        <v>440</v>
      </c>
      <c r="D594" s="10"/>
      <c r="E594" s="20">
        <f>SUM(E595:E598)</f>
        <v>95941.9</v>
      </c>
      <c r="F594" s="20">
        <f t="shared" ref="F594:G594" si="231">F595+F596</f>
        <v>82051.200000000012</v>
      </c>
      <c r="G594" s="20">
        <f t="shared" si="231"/>
        <v>82051.200000000012</v>
      </c>
    </row>
    <row r="595" spans="1:7" ht="94.5" outlineLevel="2" x14ac:dyDescent="0.25">
      <c r="A595" s="21" t="s">
        <v>13</v>
      </c>
      <c r="B595" s="19" t="s">
        <v>89</v>
      </c>
      <c r="C595" s="19" t="s">
        <v>440</v>
      </c>
      <c r="D595" s="10">
        <v>100</v>
      </c>
      <c r="E595" s="20">
        <f>87860.9+2386.9+115</f>
        <v>90362.799999999988</v>
      </c>
      <c r="F595" s="20">
        <v>80320.600000000006</v>
      </c>
      <c r="G595" s="20">
        <v>80320.600000000006</v>
      </c>
    </row>
    <row r="596" spans="1:7" ht="31.5" outlineLevel="2" x14ac:dyDescent="0.25">
      <c r="A596" s="21" t="s">
        <v>76</v>
      </c>
      <c r="B596" s="19" t="s">
        <v>89</v>
      </c>
      <c r="C596" s="19" t="s">
        <v>440</v>
      </c>
      <c r="D596" s="10">
        <v>200</v>
      </c>
      <c r="E596" s="20">
        <f>2408.8+553.1</f>
        <v>2961.9</v>
      </c>
      <c r="F596" s="20">
        <v>1730.6</v>
      </c>
      <c r="G596" s="20">
        <v>1730.6</v>
      </c>
    </row>
    <row r="597" spans="1:7" ht="31.5" outlineLevel="2" x14ac:dyDescent="0.25">
      <c r="A597" s="18" t="s">
        <v>20</v>
      </c>
      <c r="B597" s="19" t="s">
        <v>89</v>
      </c>
      <c r="C597" s="19" t="s">
        <v>440</v>
      </c>
      <c r="D597" s="19" t="s">
        <v>558</v>
      </c>
      <c r="E597" s="20">
        <f>1851+544.1</f>
        <v>2395.1</v>
      </c>
      <c r="F597" s="20">
        <v>0</v>
      </c>
      <c r="G597" s="20">
        <v>0</v>
      </c>
    </row>
    <row r="598" spans="1:7" outlineLevel="2" x14ac:dyDescent="0.25">
      <c r="A598" s="42" t="s">
        <v>33</v>
      </c>
      <c r="B598" s="19" t="s">
        <v>89</v>
      </c>
      <c r="C598" s="19" t="s">
        <v>440</v>
      </c>
      <c r="D598" s="19" t="s">
        <v>529</v>
      </c>
      <c r="E598" s="20">
        <f>187.1+35</f>
        <v>222.1</v>
      </c>
      <c r="F598" s="20">
        <v>0</v>
      </c>
      <c r="G598" s="20">
        <v>0</v>
      </c>
    </row>
    <row r="599" spans="1:7" ht="78.75" outlineLevel="2" x14ac:dyDescent="0.25">
      <c r="A599" s="33" t="s">
        <v>332</v>
      </c>
      <c r="B599" s="24" t="s">
        <v>89</v>
      </c>
      <c r="C599" s="24" t="s">
        <v>333</v>
      </c>
      <c r="D599" s="25"/>
      <c r="E599" s="20">
        <f>E600</f>
        <v>223231.59999999998</v>
      </c>
      <c r="F599" s="20">
        <f t="shared" ref="F599:G601" si="232">F600</f>
        <v>125563.19999999998</v>
      </c>
      <c r="G599" s="20">
        <f t="shared" si="232"/>
        <v>129512.3</v>
      </c>
    </row>
    <row r="600" spans="1:7" outlineLevel="2" x14ac:dyDescent="0.25">
      <c r="A600" s="33" t="s">
        <v>144</v>
      </c>
      <c r="B600" s="31" t="s">
        <v>89</v>
      </c>
      <c r="C600" s="31" t="s">
        <v>441</v>
      </c>
      <c r="D600" s="25"/>
      <c r="E600" s="20">
        <f>E601</f>
        <v>223231.59999999998</v>
      </c>
      <c r="F600" s="20">
        <f t="shared" si="232"/>
        <v>125563.19999999998</v>
      </c>
      <c r="G600" s="20">
        <f t="shared" si="232"/>
        <v>129512.3</v>
      </c>
    </row>
    <row r="601" spans="1:7" ht="63" outlineLevel="2" x14ac:dyDescent="0.25">
      <c r="A601" s="33" t="s">
        <v>442</v>
      </c>
      <c r="B601" s="24" t="s">
        <v>89</v>
      </c>
      <c r="C601" s="31" t="s">
        <v>443</v>
      </c>
      <c r="D601" s="25"/>
      <c r="E601" s="20">
        <f>E602</f>
        <v>223231.59999999998</v>
      </c>
      <c r="F601" s="20">
        <f t="shared" si="232"/>
        <v>125563.19999999998</v>
      </c>
      <c r="G601" s="20">
        <f t="shared" si="232"/>
        <v>129512.3</v>
      </c>
    </row>
    <row r="602" spans="1:7" ht="47.25" outlineLevel="2" x14ac:dyDescent="0.25">
      <c r="A602" s="38" t="s">
        <v>151</v>
      </c>
      <c r="B602" s="24" t="s">
        <v>89</v>
      </c>
      <c r="C602" s="24" t="s">
        <v>444</v>
      </c>
      <c r="D602" s="25"/>
      <c r="E602" s="20">
        <f>E603+E604+E605</f>
        <v>223231.59999999998</v>
      </c>
      <c r="F602" s="20">
        <f t="shared" ref="F602:G602" si="233">F603+F604+F605</f>
        <v>125563.19999999998</v>
      </c>
      <c r="G602" s="20">
        <f t="shared" si="233"/>
        <v>129512.3</v>
      </c>
    </row>
    <row r="603" spans="1:7" ht="94.5" outlineLevel="2" x14ac:dyDescent="0.25">
      <c r="A603" s="38" t="s">
        <v>75</v>
      </c>
      <c r="B603" s="24" t="s">
        <v>89</v>
      </c>
      <c r="C603" s="24" t="s">
        <v>444</v>
      </c>
      <c r="D603" s="25">
        <v>100</v>
      </c>
      <c r="E603" s="20">
        <f>93895.9+4551.4</f>
        <v>98447.299999999988</v>
      </c>
      <c r="F603" s="20">
        <v>97651.799999999988</v>
      </c>
      <c r="G603" s="20">
        <v>101557.90000000001</v>
      </c>
    </row>
    <row r="604" spans="1:7" ht="31.5" outlineLevel="2" x14ac:dyDescent="0.25">
      <c r="A604" s="18" t="s">
        <v>76</v>
      </c>
      <c r="B604" s="24" t="s">
        <v>89</v>
      </c>
      <c r="C604" s="24" t="s">
        <v>444</v>
      </c>
      <c r="D604" s="25">
        <v>200</v>
      </c>
      <c r="E604" s="20">
        <f>5707.2+126.6</f>
        <v>5833.8</v>
      </c>
      <c r="F604" s="20">
        <v>4273.3999999999996</v>
      </c>
      <c r="G604" s="20">
        <v>4321.3999999999996</v>
      </c>
    </row>
    <row r="605" spans="1:7" outlineLevel="2" x14ac:dyDescent="0.25">
      <c r="A605" s="23" t="s">
        <v>33</v>
      </c>
      <c r="B605" s="24" t="s">
        <v>89</v>
      </c>
      <c r="C605" s="24" t="s">
        <v>444</v>
      </c>
      <c r="D605" s="25">
        <v>800</v>
      </c>
      <c r="E605" s="20">
        <f>68701.3+80+50000+169.2</f>
        <v>118950.5</v>
      </c>
      <c r="F605" s="20">
        <v>23638</v>
      </c>
      <c r="G605" s="20">
        <v>23633</v>
      </c>
    </row>
    <row r="606" spans="1:7" x14ac:dyDescent="0.25">
      <c r="A606" s="14" t="s">
        <v>445</v>
      </c>
      <c r="B606" s="15" t="s">
        <v>446</v>
      </c>
      <c r="C606" s="15"/>
      <c r="D606" s="16"/>
      <c r="E606" s="17">
        <f t="shared" ref="E606:G611" si="234">E607</f>
        <v>39028.400000000001</v>
      </c>
      <c r="F606" s="17">
        <f t="shared" si="234"/>
        <v>20582.900000000001</v>
      </c>
      <c r="G606" s="17">
        <f t="shared" si="234"/>
        <v>20582.900000000001</v>
      </c>
    </row>
    <row r="607" spans="1:7" ht="31.5" outlineLevel="1" x14ac:dyDescent="0.25">
      <c r="A607" s="21" t="s">
        <v>447</v>
      </c>
      <c r="B607" s="19" t="s">
        <v>448</v>
      </c>
      <c r="C607" s="19"/>
      <c r="D607" s="10"/>
      <c r="E607" s="20">
        <f t="shared" si="234"/>
        <v>39028.400000000001</v>
      </c>
      <c r="F607" s="20">
        <f t="shared" si="234"/>
        <v>20582.900000000001</v>
      </c>
      <c r="G607" s="20">
        <f t="shared" si="234"/>
        <v>20582.900000000001</v>
      </c>
    </row>
    <row r="608" spans="1:7" ht="47.25" outlineLevel="2" x14ac:dyDescent="0.25">
      <c r="A608" s="33" t="s">
        <v>370</v>
      </c>
      <c r="B608" s="19" t="s">
        <v>448</v>
      </c>
      <c r="C608" s="19" t="s">
        <v>371</v>
      </c>
      <c r="D608" s="10"/>
      <c r="E608" s="20">
        <f t="shared" si="234"/>
        <v>39028.400000000001</v>
      </c>
      <c r="F608" s="20">
        <f t="shared" si="234"/>
        <v>20582.900000000001</v>
      </c>
      <c r="G608" s="20">
        <f t="shared" si="234"/>
        <v>20582.900000000001</v>
      </c>
    </row>
    <row r="609" spans="1:7" outlineLevel="2" x14ac:dyDescent="0.25">
      <c r="A609" s="33" t="s">
        <v>144</v>
      </c>
      <c r="B609" s="31" t="s">
        <v>448</v>
      </c>
      <c r="C609" s="31" t="s">
        <v>407</v>
      </c>
      <c r="D609" s="25"/>
      <c r="E609" s="20">
        <f t="shared" si="234"/>
        <v>39028.400000000001</v>
      </c>
      <c r="F609" s="20">
        <f t="shared" si="234"/>
        <v>20582.900000000001</v>
      </c>
      <c r="G609" s="20">
        <f t="shared" si="234"/>
        <v>20582.900000000001</v>
      </c>
    </row>
    <row r="610" spans="1:7" ht="47.25" outlineLevel="2" x14ac:dyDescent="0.25">
      <c r="A610" s="33" t="s">
        <v>408</v>
      </c>
      <c r="B610" s="31" t="s">
        <v>448</v>
      </c>
      <c r="C610" s="31" t="s">
        <v>409</v>
      </c>
      <c r="D610" s="25"/>
      <c r="E610" s="20">
        <f t="shared" si="234"/>
        <v>39028.400000000001</v>
      </c>
      <c r="F610" s="20">
        <f t="shared" si="234"/>
        <v>20582.900000000001</v>
      </c>
      <c r="G610" s="20">
        <f t="shared" si="234"/>
        <v>20582.900000000001</v>
      </c>
    </row>
    <row r="611" spans="1:7" outlineLevel="2" x14ac:dyDescent="0.25">
      <c r="A611" s="34" t="s">
        <v>449</v>
      </c>
      <c r="B611" s="24" t="s">
        <v>448</v>
      </c>
      <c r="C611" s="24" t="s">
        <v>450</v>
      </c>
      <c r="D611" s="10"/>
      <c r="E611" s="20">
        <f t="shared" si="234"/>
        <v>39028.400000000001</v>
      </c>
      <c r="F611" s="20">
        <f t="shared" si="234"/>
        <v>20582.900000000001</v>
      </c>
      <c r="G611" s="20">
        <f t="shared" si="234"/>
        <v>20582.900000000001</v>
      </c>
    </row>
    <row r="612" spans="1:7" ht="47.25" outlineLevel="2" x14ac:dyDescent="0.25">
      <c r="A612" s="21" t="s">
        <v>94</v>
      </c>
      <c r="B612" s="24" t="s">
        <v>448</v>
      </c>
      <c r="C612" s="24" t="s">
        <v>450</v>
      </c>
      <c r="D612" s="10">
        <v>600</v>
      </c>
      <c r="E612" s="20">
        <v>39028.400000000001</v>
      </c>
      <c r="F612" s="20">
        <v>20582.900000000001</v>
      </c>
      <c r="G612" s="20">
        <v>20582.900000000001</v>
      </c>
    </row>
    <row r="613" spans="1:7" x14ac:dyDescent="0.25">
      <c r="A613" s="14" t="s">
        <v>90</v>
      </c>
      <c r="B613" s="15" t="s">
        <v>91</v>
      </c>
      <c r="C613" s="37"/>
      <c r="D613" s="17"/>
      <c r="E613" s="53">
        <f>E614+E636+E701+E724+E742</f>
        <v>6561001</v>
      </c>
      <c r="F613" s="53">
        <f>F614+F636+F701+F724+F742</f>
        <v>6289899.3999999994</v>
      </c>
      <c r="G613" s="53">
        <f>G614+G636+G701+G724+G742</f>
        <v>6625293.7999999998</v>
      </c>
    </row>
    <row r="614" spans="1:7" outlineLevel="1" x14ac:dyDescent="0.25">
      <c r="A614" s="21" t="s">
        <v>92</v>
      </c>
      <c r="B614" s="19" t="s">
        <v>93</v>
      </c>
      <c r="C614" s="19"/>
      <c r="D614" s="10"/>
      <c r="E614" s="20">
        <f>E615</f>
        <v>2188744.2999999998</v>
      </c>
      <c r="F614" s="20">
        <f t="shared" ref="F614:G614" si="235">F615</f>
        <v>2058504.2</v>
      </c>
      <c r="G614" s="20">
        <f t="shared" si="235"/>
        <v>2177770.1999999997</v>
      </c>
    </row>
    <row r="615" spans="1:7" ht="31.5" outlineLevel="2" x14ac:dyDescent="0.25">
      <c r="A615" s="21" t="s">
        <v>209</v>
      </c>
      <c r="B615" s="19" t="s">
        <v>93</v>
      </c>
      <c r="C615" s="19" t="s">
        <v>210</v>
      </c>
      <c r="D615" s="10"/>
      <c r="E615" s="20">
        <f>E616+E622</f>
        <v>2188744.2999999998</v>
      </c>
      <c r="F615" s="20">
        <f t="shared" ref="F615:G615" si="236">F616+F622</f>
        <v>2058504.2</v>
      </c>
      <c r="G615" s="20">
        <f t="shared" si="236"/>
        <v>2177770.1999999997</v>
      </c>
    </row>
    <row r="616" spans="1:7" ht="31.5" outlineLevel="2" x14ac:dyDescent="0.25">
      <c r="A616" s="21" t="s">
        <v>155</v>
      </c>
      <c r="B616" s="19" t="s">
        <v>93</v>
      </c>
      <c r="C616" s="19" t="s">
        <v>211</v>
      </c>
      <c r="D616" s="10"/>
      <c r="E616" s="20">
        <f>E617</f>
        <v>4000</v>
      </c>
      <c r="F616" s="20">
        <f t="shared" ref="F616:G616" si="237">F617</f>
        <v>16606.8</v>
      </c>
      <c r="G616" s="20">
        <f t="shared" si="237"/>
        <v>18845.8</v>
      </c>
    </row>
    <row r="617" spans="1:7" ht="47.25" outlineLevel="2" x14ac:dyDescent="0.25">
      <c r="A617" s="33" t="s">
        <v>212</v>
      </c>
      <c r="B617" s="19" t="s">
        <v>93</v>
      </c>
      <c r="C617" s="19" t="s">
        <v>213</v>
      </c>
      <c r="D617" s="10"/>
      <c r="E617" s="20">
        <f>E618+E620</f>
        <v>4000</v>
      </c>
      <c r="F617" s="20">
        <f t="shared" ref="F617:G617" si="238">F618+F620</f>
        <v>16606.8</v>
      </c>
      <c r="G617" s="20">
        <f t="shared" si="238"/>
        <v>18845.8</v>
      </c>
    </row>
    <row r="618" spans="1:7" ht="31.5" outlineLevel="2" x14ac:dyDescent="0.25">
      <c r="A618" s="18" t="s">
        <v>214</v>
      </c>
      <c r="B618" s="19" t="s">
        <v>93</v>
      </c>
      <c r="C618" s="19" t="s">
        <v>215</v>
      </c>
      <c r="D618" s="19"/>
      <c r="E618" s="20">
        <f>E619</f>
        <v>4000</v>
      </c>
      <c r="F618" s="20">
        <f t="shared" ref="F618:G618" si="239">F619</f>
        <v>0</v>
      </c>
      <c r="G618" s="20">
        <f t="shared" si="239"/>
        <v>0</v>
      </c>
    </row>
    <row r="619" spans="1:7" ht="47.25" outlineLevel="2" x14ac:dyDescent="0.25">
      <c r="A619" s="18" t="s">
        <v>94</v>
      </c>
      <c r="B619" s="19" t="s">
        <v>93</v>
      </c>
      <c r="C619" s="19" t="s">
        <v>215</v>
      </c>
      <c r="D619" s="19" t="s">
        <v>95</v>
      </c>
      <c r="E619" s="20">
        <v>4000</v>
      </c>
      <c r="F619" s="20">
        <v>0</v>
      </c>
      <c r="G619" s="20">
        <v>0</v>
      </c>
    </row>
    <row r="620" spans="1:7" ht="63" outlineLevel="2" x14ac:dyDescent="0.25">
      <c r="A620" s="18" t="s">
        <v>627</v>
      </c>
      <c r="B620" s="19" t="s">
        <v>93</v>
      </c>
      <c r="C620" s="19" t="s">
        <v>628</v>
      </c>
      <c r="D620" s="19"/>
      <c r="E620" s="20">
        <v>0</v>
      </c>
      <c r="F620" s="20">
        <v>16606.8</v>
      </c>
      <c r="G620" s="20">
        <v>18845.8</v>
      </c>
    </row>
    <row r="621" spans="1:7" ht="47.25" outlineLevel="2" x14ac:dyDescent="0.25">
      <c r="A621" s="18" t="s">
        <v>94</v>
      </c>
      <c r="B621" s="19" t="s">
        <v>93</v>
      </c>
      <c r="C621" s="19" t="s">
        <v>628</v>
      </c>
      <c r="D621" s="19" t="s">
        <v>95</v>
      </c>
      <c r="E621" s="20">
        <v>0</v>
      </c>
      <c r="F621" s="20">
        <v>16606.8</v>
      </c>
      <c r="G621" s="20">
        <v>18845.8</v>
      </c>
    </row>
    <row r="622" spans="1:7" outlineLevel="2" x14ac:dyDescent="0.25">
      <c r="A622" s="21" t="s">
        <v>144</v>
      </c>
      <c r="B622" s="19" t="s">
        <v>93</v>
      </c>
      <c r="C622" s="19" t="s">
        <v>216</v>
      </c>
      <c r="D622" s="10"/>
      <c r="E622" s="20">
        <f>E623+E631</f>
        <v>2184744.2999999998</v>
      </c>
      <c r="F622" s="20">
        <f t="shared" ref="F622:G622" si="240">F623+F631</f>
        <v>2041897.4</v>
      </c>
      <c r="G622" s="20">
        <f t="shared" si="240"/>
        <v>2158924.4</v>
      </c>
    </row>
    <row r="623" spans="1:7" ht="63" outlineLevel="2" x14ac:dyDescent="0.25">
      <c r="A623" s="33" t="s">
        <v>495</v>
      </c>
      <c r="B623" s="19" t="s">
        <v>93</v>
      </c>
      <c r="C623" s="19" t="s">
        <v>217</v>
      </c>
      <c r="D623" s="10"/>
      <c r="E623" s="20">
        <f>E624+E626+E629</f>
        <v>2183038.1999999997</v>
      </c>
      <c r="F623" s="20">
        <f t="shared" ref="F623:G623" si="241">F624+F626+F629</f>
        <v>2040521.5</v>
      </c>
      <c r="G623" s="20">
        <f t="shared" si="241"/>
        <v>2157548.5</v>
      </c>
    </row>
    <row r="624" spans="1:7" ht="47.25" outlineLevel="2" x14ac:dyDescent="0.25">
      <c r="A624" s="9" t="s">
        <v>151</v>
      </c>
      <c r="B624" s="19" t="s">
        <v>93</v>
      </c>
      <c r="C624" s="19" t="s">
        <v>218</v>
      </c>
      <c r="D624" s="10"/>
      <c r="E624" s="20">
        <f>E625</f>
        <v>996676.6</v>
      </c>
      <c r="F624" s="20">
        <f t="shared" ref="F624:G624" si="242">F625</f>
        <v>788966.2</v>
      </c>
      <c r="G624" s="20">
        <f t="shared" si="242"/>
        <v>905993.2</v>
      </c>
    </row>
    <row r="625" spans="1:7" ht="47.25" outlineLevel="2" x14ac:dyDescent="0.25">
      <c r="A625" s="21" t="s">
        <v>94</v>
      </c>
      <c r="B625" s="19" t="s">
        <v>93</v>
      </c>
      <c r="C625" s="19" t="s">
        <v>218</v>
      </c>
      <c r="D625" s="10">
        <v>600</v>
      </c>
      <c r="E625" s="20">
        <f>979615.4+1778.7+9916.4+5366.1</f>
        <v>996676.6</v>
      </c>
      <c r="F625" s="20">
        <v>788966.2</v>
      </c>
      <c r="G625" s="20">
        <v>905993.2</v>
      </c>
    </row>
    <row r="626" spans="1:7" ht="78.75" outlineLevel="2" x14ac:dyDescent="0.25">
      <c r="A626" s="33" t="s">
        <v>219</v>
      </c>
      <c r="B626" s="19" t="s">
        <v>93</v>
      </c>
      <c r="C626" s="19" t="s">
        <v>220</v>
      </c>
      <c r="D626" s="10"/>
      <c r="E626" s="20">
        <f>E627+E628</f>
        <v>17791.7</v>
      </c>
      <c r="F626" s="20">
        <f t="shared" ref="F626:G626" si="243">F627+F628</f>
        <v>17791.7</v>
      </c>
      <c r="G626" s="20">
        <f t="shared" si="243"/>
        <v>17791.7</v>
      </c>
    </row>
    <row r="627" spans="1:7" ht="47.25" outlineLevel="2" x14ac:dyDescent="0.25">
      <c r="A627" s="21" t="s">
        <v>94</v>
      </c>
      <c r="B627" s="19" t="s">
        <v>93</v>
      </c>
      <c r="C627" s="19" t="s">
        <v>220</v>
      </c>
      <c r="D627" s="10">
        <v>600</v>
      </c>
      <c r="E627" s="20">
        <v>6239.9999999999991</v>
      </c>
      <c r="F627" s="20">
        <v>8160.5</v>
      </c>
      <c r="G627" s="20">
        <v>8160.5</v>
      </c>
    </row>
    <row r="628" spans="1:7" outlineLevel="2" x14ac:dyDescent="0.25">
      <c r="A628" s="18" t="s">
        <v>33</v>
      </c>
      <c r="B628" s="19" t="s">
        <v>93</v>
      </c>
      <c r="C628" s="19" t="s">
        <v>220</v>
      </c>
      <c r="D628" s="10">
        <v>800</v>
      </c>
      <c r="E628" s="20">
        <v>11551.7</v>
      </c>
      <c r="F628" s="20">
        <v>9631.2000000000007</v>
      </c>
      <c r="G628" s="20">
        <v>9631.2000000000007</v>
      </c>
    </row>
    <row r="629" spans="1:7" ht="204.75" outlineLevel="2" x14ac:dyDescent="0.25">
      <c r="A629" s="33" t="s">
        <v>221</v>
      </c>
      <c r="B629" s="19" t="s">
        <v>93</v>
      </c>
      <c r="C629" s="19" t="s">
        <v>222</v>
      </c>
      <c r="D629" s="10"/>
      <c r="E629" s="20">
        <f t="shared" ref="E629:G629" si="244">E630</f>
        <v>1168569.8999999999</v>
      </c>
      <c r="F629" s="20">
        <f t="shared" si="244"/>
        <v>1233763.6000000001</v>
      </c>
      <c r="G629" s="20">
        <f t="shared" si="244"/>
        <v>1233763.6000000001</v>
      </c>
    </row>
    <row r="630" spans="1:7" ht="47.25" outlineLevel="2" x14ac:dyDescent="0.25">
      <c r="A630" s="21" t="s">
        <v>94</v>
      </c>
      <c r="B630" s="19" t="s">
        <v>93</v>
      </c>
      <c r="C630" s="19" t="s">
        <v>222</v>
      </c>
      <c r="D630" s="19" t="s">
        <v>95</v>
      </c>
      <c r="E630" s="20">
        <v>1168569.8999999999</v>
      </c>
      <c r="F630" s="20">
        <v>1233763.6000000001</v>
      </c>
      <c r="G630" s="20">
        <v>1233763.6000000001</v>
      </c>
    </row>
    <row r="631" spans="1:7" ht="63" outlineLevel="2" x14ac:dyDescent="0.25">
      <c r="A631" s="33" t="s">
        <v>489</v>
      </c>
      <c r="B631" s="19" t="s">
        <v>93</v>
      </c>
      <c r="C631" s="19" t="s">
        <v>223</v>
      </c>
      <c r="D631" s="19"/>
      <c r="E631" s="20">
        <f>E634+E632</f>
        <v>1706.1000000000001</v>
      </c>
      <c r="F631" s="20">
        <f>F634</f>
        <v>1375.9</v>
      </c>
      <c r="G631" s="20">
        <f>G634</f>
        <v>1375.9</v>
      </c>
    </row>
    <row r="632" spans="1:7" ht="31.5" outlineLevel="2" x14ac:dyDescent="0.25">
      <c r="A632" s="1" t="s">
        <v>250</v>
      </c>
      <c r="B632" s="19" t="s">
        <v>93</v>
      </c>
      <c r="C632" s="19" t="s">
        <v>251</v>
      </c>
      <c r="D632" s="19"/>
      <c r="E632" s="20">
        <f>E633</f>
        <v>130.19999999999999</v>
      </c>
      <c r="F632" s="20">
        <f t="shared" ref="F632:G632" si="245">F633</f>
        <v>0</v>
      </c>
      <c r="G632" s="20">
        <f t="shared" si="245"/>
        <v>0</v>
      </c>
    </row>
    <row r="633" spans="1:7" ht="47.25" outlineLevel="2" x14ac:dyDescent="0.25">
      <c r="A633" s="54" t="s">
        <v>94</v>
      </c>
      <c r="B633" s="19" t="s">
        <v>93</v>
      </c>
      <c r="C633" s="19" t="s">
        <v>251</v>
      </c>
      <c r="D633" s="19">
        <v>600</v>
      </c>
      <c r="E633" s="20">
        <v>130.19999999999999</v>
      </c>
      <c r="F633" s="20">
        <v>0</v>
      </c>
      <c r="G633" s="20">
        <v>0</v>
      </c>
    </row>
    <row r="634" spans="1:7" ht="47.25" outlineLevel="2" x14ac:dyDescent="0.25">
      <c r="A634" s="55" t="s">
        <v>224</v>
      </c>
      <c r="B634" s="56" t="s">
        <v>93</v>
      </c>
      <c r="C634" s="57" t="s">
        <v>225</v>
      </c>
      <c r="D634" s="56"/>
      <c r="E634" s="20">
        <f>E635</f>
        <v>1575.9</v>
      </c>
      <c r="F634" s="20">
        <f t="shared" ref="F634:G634" si="246">F635</f>
        <v>1375.9</v>
      </c>
      <c r="G634" s="20">
        <f t="shared" si="246"/>
        <v>1375.9</v>
      </c>
    </row>
    <row r="635" spans="1:7" ht="47.25" outlineLevel="2" x14ac:dyDescent="0.25">
      <c r="A635" s="21" t="s">
        <v>94</v>
      </c>
      <c r="B635" s="56" t="s">
        <v>93</v>
      </c>
      <c r="C635" s="57" t="s">
        <v>225</v>
      </c>
      <c r="D635" s="56">
        <v>600</v>
      </c>
      <c r="E635" s="20">
        <f>1375.9+200</f>
        <v>1575.9</v>
      </c>
      <c r="F635" s="20">
        <v>1375.9</v>
      </c>
      <c r="G635" s="20">
        <v>1375.9</v>
      </c>
    </row>
    <row r="636" spans="1:7" outlineLevel="1" x14ac:dyDescent="0.25">
      <c r="A636" s="21" t="s">
        <v>226</v>
      </c>
      <c r="B636" s="19" t="s">
        <v>227</v>
      </c>
      <c r="C636" s="57"/>
      <c r="D636" s="10"/>
      <c r="E636" s="20">
        <f>E637</f>
        <v>3423063.6000000006</v>
      </c>
      <c r="F636" s="20">
        <f t="shared" ref="F636:G636" si="247">F637</f>
        <v>3483195.8999999994</v>
      </c>
      <c r="G636" s="20">
        <f t="shared" si="247"/>
        <v>3675368.1</v>
      </c>
    </row>
    <row r="637" spans="1:7" ht="31.5" outlineLevel="2" x14ac:dyDescent="0.25">
      <c r="A637" s="21" t="s">
        <v>209</v>
      </c>
      <c r="B637" s="19" t="s">
        <v>227</v>
      </c>
      <c r="C637" s="57" t="s">
        <v>210</v>
      </c>
      <c r="D637" s="10"/>
      <c r="E637" s="20">
        <f>E638+E660+E650</f>
        <v>3423063.6000000006</v>
      </c>
      <c r="F637" s="20">
        <f t="shared" ref="F637:G637" si="248">F638+F660+F650</f>
        <v>3483195.8999999994</v>
      </c>
      <c r="G637" s="20">
        <f t="shared" si="248"/>
        <v>3675368.1</v>
      </c>
    </row>
    <row r="638" spans="1:7" outlineLevel="2" x14ac:dyDescent="0.25">
      <c r="A638" s="21" t="s">
        <v>228</v>
      </c>
      <c r="B638" s="19" t="s">
        <v>227</v>
      </c>
      <c r="C638" s="57" t="s">
        <v>229</v>
      </c>
      <c r="D638" s="10"/>
      <c r="E638" s="20">
        <f>E639+E643</f>
        <v>137093.6</v>
      </c>
      <c r="F638" s="20">
        <f t="shared" ref="F638:G638" si="249">F639+F643</f>
        <v>281563.40000000002</v>
      </c>
      <c r="G638" s="20">
        <f t="shared" si="249"/>
        <v>254952.30000000002</v>
      </c>
    </row>
    <row r="639" spans="1:7" outlineLevel="2" x14ac:dyDescent="0.25">
      <c r="A639" s="9" t="s">
        <v>629</v>
      </c>
      <c r="B639" s="19" t="s">
        <v>227</v>
      </c>
      <c r="C639" s="57" t="s">
        <v>632</v>
      </c>
      <c r="D639" s="10"/>
      <c r="E639" s="20">
        <f>E640</f>
        <v>0</v>
      </c>
      <c r="F639" s="20">
        <f t="shared" ref="F639:G639" si="250">F640</f>
        <v>144469.79999999999</v>
      </c>
      <c r="G639" s="20">
        <f t="shared" si="250"/>
        <v>117858.70000000001</v>
      </c>
    </row>
    <row r="640" spans="1:7" outlineLevel="2" x14ac:dyDescent="0.25">
      <c r="A640" s="9" t="s">
        <v>629</v>
      </c>
      <c r="B640" s="19" t="s">
        <v>227</v>
      </c>
      <c r="C640" s="57" t="s">
        <v>630</v>
      </c>
      <c r="D640" s="10"/>
      <c r="E640" s="20">
        <f>E641</f>
        <v>0</v>
      </c>
      <c r="F640" s="20">
        <f>F641</f>
        <v>144469.79999999999</v>
      </c>
      <c r="G640" s="20">
        <f>G641</f>
        <v>117858.70000000001</v>
      </c>
    </row>
    <row r="641" spans="1:9" ht="78.75" outlineLevel="2" x14ac:dyDescent="0.25">
      <c r="A641" s="9" t="s">
        <v>631</v>
      </c>
      <c r="B641" s="19" t="s">
        <v>227</v>
      </c>
      <c r="C641" s="57" t="s">
        <v>630</v>
      </c>
      <c r="D641" s="10"/>
      <c r="E641" s="20">
        <f>+E642</f>
        <v>0</v>
      </c>
      <c r="F641" s="20">
        <f>F642</f>
        <v>144469.79999999999</v>
      </c>
      <c r="G641" s="20">
        <v>117858.70000000001</v>
      </c>
    </row>
    <row r="642" spans="1:9" ht="47.25" outlineLevel="2" x14ac:dyDescent="0.25">
      <c r="A642" s="9" t="s">
        <v>94</v>
      </c>
      <c r="B642" s="19" t="s">
        <v>227</v>
      </c>
      <c r="C642" s="19" t="s">
        <v>630</v>
      </c>
      <c r="D642" s="10">
        <v>600</v>
      </c>
      <c r="E642" s="20">
        <v>0</v>
      </c>
      <c r="F642" s="20">
        <v>144469.79999999999</v>
      </c>
      <c r="G642" s="20">
        <v>117858.70000000001</v>
      </c>
    </row>
    <row r="643" spans="1:9" ht="31.5" outlineLevel="2" x14ac:dyDescent="0.25">
      <c r="A643" s="21" t="s">
        <v>615</v>
      </c>
      <c r="B643" s="19" t="s">
        <v>227</v>
      </c>
      <c r="C643" s="19" t="s">
        <v>616</v>
      </c>
      <c r="D643" s="10"/>
      <c r="E643" s="20">
        <f>E644+E646+E648</f>
        <v>137093.6</v>
      </c>
      <c r="F643" s="20">
        <f t="shared" ref="F643:G643" si="251">F644+F646+F648</f>
        <v>137093.6</v>
      </c>
      <c r="G643" s="20">
        <f t="shared" si="251"/>
        <v>137093.6</v>
      </c>
    </row>
    <row r="644" spans="1:9" ht="189" outlineLevel="2" x14ac:dyDescent="0.25">
      <c r="A644" s="9" t="s">
        <v>611</v>
      </c>
      <c r="B644" s="19" t="s">
        <v>227</v>
      </c>
      <c r="C644" s="19" t="s">
        <v>612</v>
      </c>
      <c r="D644" s="19"/>
      <c r="E644" s="20">
        <f>E645</f>
        <v>2460.8000000000002</v>
      </c>
      <c r="F644" s="20">
        <f t="shared" ref="F644:G644" si="252">F645</f>
        <v>2460.8000000000002</v>
      </c>
      <c r="G644" s="20">
        <f t="shared" si="252"/>
        <v>2460.8000000000002</v>
      </c>
    </row>
    <row r="645" spans="1:9" ht="47.25" outlineLevel="2" x14ac:dyDescent="0.25">
      <c r="A645" s="18" t="s">
        <v>94</v>
      </c>
      <c r="B645" s="19" t="s">
        <v>227</v>
      </c>
      <c r="C645" s="19" t="s">
        <v>612</v>
      </c>
      <c r="D645" s="19" t="s">
        <v>95</v>
      </c>
      <c r="E645" s="20">
        <v>2460.8000000000002</v>
      </c>
      <c r="F645" s="20">
        <v>2460.8000000000002</v>
      </c>
      <c r="G645" s="20">
        <v>2460.8000000000002</v>
      </c>
    </row>
    <row r="646" spans="1:9" ht="78.75" outlineLevel="2" x14ac:dyDescent="0.25">
      <c r="A646" s="23" t="s">
        <v>230</v>
      </c>
      <c r="B646" s="19" t="s">
        <v>227</v>
      </c>
      <c r="C646" s="19" t="s">
        <v>613</v>
      </c>
      <c r="D646" s="19"/>
      <c r="E646" s="20">
        <f>E647</f>
        <v>7844</v>
      </c>
      <c r="F646" s="20">
        <f t="shared" ref="F646:G646" si="253">F647</f>
        <v>7844.0000000000009</v>
      </c>
      <c r="G646" s="20">
        <f t="shared" si="253"/>
        <v>7844.0000000000009</v>
      </c>
    </row>
    <row r="647" spans="1:9" ht="47.25" outlineLevel="2" x14ac:dyDescent="0.25">
      <c r="A647" s="18" t="s">
        <v>94</v>
      </c>
      <c r="B647" s="19" t="s">
        <v>227</v>
      </c>
      <c r="C647" s="19" t="s">
        <v>613</v>
      </c>
      <c r="D647" s="19" t="s">
        <v>95</v>
      </c>
      <c r="E647" s="20">
        <v>7844</v>
      </c>
      <c r="F647" s="20">
        <v>7844.0000000000009</v>
      </c>
      <c r="G647" s="20">
        <v>7844.0000000000009</v>
      </c>
    </row>
    <row r="648" spans="1:9" ht="141.75" outlineLevel="2" x14ac:dyDescent="0.25">
      <c r="A648" s="21" t="s">
        <v>243</v>
      </c>
      <c r="B648" s="19" t="s">
        <v>227</v>
      </c>
      <c r="C648" s="19" t="s">
        <v>614</v>
      </c>
      <c r="D648" s="19"/>
      <c r="E648" s="20">
        <f>E649</f>
        <v>126788.8</v>
      </c>
      <c r="F648" s="20">
        <f t="shared" ref="F648:G648" si="254">F649</f>
        <v>126788.8</v>
      </c>
      <c r="G648" s="20">
        <f t="shared" si="254"/>
        <v>126788.8</v>
      </c>
    </row>
    <row r="649" spans="1:9" ht="47.25" outlineLevel="2" x14ac:dyDescent="0.25">
      <c r="A649" s="21" t="s">
        <v>94</v>
      </c>
      <c r="B649" s="19" t="s">
        <v>227</v>
      </c>
      <c r="C649" s="19" t="s">
        <v>614</v>
      </c>
      <c r="D649" s="19" t="s">
        <v>95</v>
      </c>
      <c r="E649" s="20">
        <v>126788.8</v>
      </c>
      <c r="F649" s="20">
        <v>126788.8</v>
      </c>
      <c r="G649" s="20">
        <v>126788.8</v>
      </c>
    </row>
    <row r="650" spans="1:9" ht="31.5" outlineLevel="2" x14ac:dyDescent="0.25">
      <c r="A650" s="21" t="s">
        <v>155</v>
      </c>
      <c r="B650" s="19" t="s">
        <v>227</v>
      </c>
      <c r="C650" s="19" t="s">
        <v>211</v>
      </c>
      <c r="D650" s="10"/>
      <c r="E650" s="20">
        <f>E651</f>
        <v>577972</v>
      </c>
      <c r="F650" s="20">
        <f>F651</f>
        <v>596213.1</v>
      </c>
      <c r="G650" s="20">
        <f>G651</f>
        <v>587792.10000000009</v>
      </c>
    </row>
    <row r="651" spans="1:9" ht="47.25" outlineLevel="2" x14ac:dyDescent="0.25">
      <c r="A651" s="33" t="s">
        <v>212</v>
      </c>
      <c r="B651" s="19" t="s">
        <v>227</v>
      </c>
      <c r="C651" s="19" t="s">
        <v>213</v>
      </c>
      <c r="D651" s="10"/>
      <c r="E651" s="20">
        <f>E652+E656+E658</f>
        <v>577972</v>
      </c>
      <c r="F651" s="20">
        <f>F652+F655+F657</f>
        <v>596213.1</v>
      </c>
      <c r="G651" s="20">
        <f>G652+G655+G657</f>
        <v>587792.10000000009</v>
      </c>
    </row>
    <row r="652" spans="1:9" ht="63" outlineLevel="2" x14ac:dyDescent="0.25">
      <c r="A652" s="21" t="s">
        <v>231</v>
      </c>
      <c r="B652" s="19" t="s">
        <v>227</v>
      </c>
      <c r="C652" s="19" t="s">
        <v>617</v>
      </c>
      <c r="D652" s="19"/>
      <c r="E652" s="20">
        <f>E653</f>
        <v>574795.70000000007</v>
      </c>
      <c r="F652" s="20">
        <f t="shared" ref="F652:G652" si="255">F653</f>
        <v>574629.1</v>
      </c>
      <c r="G652" s="20">
        <f t="shared" si="255"/>
        <v>574629.20000000007</v>
      </c>
      <c r="I652" s="32"/>
    </row>
    <row r="653" spans="1:9" outlineLevel="2" x14ac:dyDescent="0.25">
      <c r="A653" s="1" t="s">
        <v>33</v>
      </c>
      <c r="B653" s="19" t="s">
        <v>227</v>
      </c>
      <c r="C653" s="19" t="s">
        <v>617</v>
      </c>
      <c r="D653" s="19" t="s">
        <v>529</v>
      </c>
      <c r="E653" s="20">
        <v>574795.70000000007</v>
      </c>
      <c r="F653" s="20">
        <v>574629.1</v>
      </c>
      <c r="G653" s="20">
        <v>574629.20000000007</v>
      </c>
    </row>
    <row r="654" spans="1:9" ht="63" outlineLevel="2" x14ac:dyDescent="0.25">
      <c r="A654" s="1" t="s">
        <v>627</v>
      </c>
      <c r="B654" s="19" t="s">
        <v>227</v>
      </c>
      <c r="C654" s="19" t="s">
        <v>628</v>
      </c>
      <c r="D654" s="19"/>
      <c r="E654" s="20">
        <f>E655</f>
        <v>0</v>
      </c>
      <c r="F654" s="20">
        <f>F655</f>
        <v>19456.300000000003</v>
      </c>
      <c r="G654" s="20">
        <f>G655</f>
        <v>8907.6</v>
      </c>
    </row>
    <row r="655" spans="1:9" ht="47.25" outlineLevel="2" x14ac:dyDescent="0.25">
      <c r="A655" s="1" t="s">
        <v>94</v>
      </c>
      <c r="B655" s="19" t="s">
        <v>227</v>
      </c>
      <c r="C655" s="19" t="s">
        <v>628</v>
      </c>
      <c r="D655" s="19" t="s">
        <v>95</v>
      </c>
      <c r="E655" s="20">
        <v>0</v>
      </c>
      <c r="F655" s="20">
        <v>19456.300000000003</v>
      </c>
      <c r="G655" s="20">
        <v>8907.6</v>
      </c>
    </row>
    <row r="656" spans="1:9" ht="47.25" outlineLevel="2" x14ac:dyDescent="0.25">
      <c r="A656" s="1" t="s">
        <v>232</v>
      </c>
      <c r="B656" s="19" t="s">
        <v>227</v>
      </c>
      <c r="C656" s="19" t="s">
        <v>233</v>
      </c>
      <c r="D656" s="19"/>
      <c r="E656" s="20">
        <f>E657</f>
        <v>2127.6999999999998</v>
      </c>
      <c r="F656" s="20">
        <f>F657</f>
        <v>2127.6999999999998</v>
      </c>
      <c r="G656" s="20">
        <f>G657</f>
        <v>4255.2999999999993</v>
      </c>
    </row>
    <row r="657" spans="1:7" ht="47.25" outlineLevel="2" x14ac:dyDescent="0.25">
      <c r="A657" s="1" t="s">
        <v>94</v>
      </c>
      <c r="B657" s="19" t="s">
        <v>227</v>
      </c>
      <c r="C657" s="19" t="s">
        <v>233</v>
      </c>
      <c r="D657" s="19" t="s">
        <v>95</v>
      </c>
      <c r="E657" s="20">
        <v>2127.6999999999998</v>
      </c>
      <c r="F657" s="20">
        <v>2127.6999999999998</v>
      </c>
      <c r="G657" s="20">
        <v>4255.2999999999993</v>
      </c>
    </row>
    <row r="658" spans="1:7" ht="31.5" outlineLevel="2" x14ac:dyDescent="0.25">
      <c r="A658" s="33" t="s">
        <v>597</v>
      </c>
      <c r="B658" s="19" t="s">
        <v>227</v>
      </c>
      <c r="C658" s="19" t="s">
        <v>598</v>
      </c>
      <c r="D658" s="19"/>
      <c r="E658" s="20">
        <f>E659</f>
        <v>1048.6000000000001</v>
      </c>
      <c r="F658" s="20">
        <f t="shared" ref="F658:G658" si="256">F659</f>
        <v>0</v>
      </c>
      <c r="G658" s="20">
        <f t="shared" si="256"/>
        <v>0</v>
      </c>
    </row>
    <row r="659" spans="1:7" ht="47.25" outlineLevel="2" x14ac:dyDescent="0.25">
      <c r="A659" s="18" t="s">
        <v>94</v>
      </c>
      <c r="B659" s="19" t="s">
        <v>227</v>
      </c>
      <c r="C659" s="19" t="s">
        <v>598</v>
      </c>
      <c r="D659" s="19" t="s">
        <v>95</v>
      </c>
      <c r="E659" s="20">
        <v>1048.6000000000001</v>
      </c>
      <c r="F659" s="20">
        <v>0</v>
      </c>
      <c r="G659" s="20">
        <v>0</v>
      </c>
    </row>
    <row r="660" spans="1:7" outlineLevel="2" x14ac:dyDescent="0.25">
      <c r="A660" s="21" t="s">
        <v>144</v>
      </c>
      <c r="B660" s="19" t="s">
        <v>227</v>
      </c>
      <c r="C660" s="19" t="s">
        <v>216</v>
      </c>
      <c r="D660" s="19"/>
      <c r="E660" s="20">
        <f>E661+E690</f>
        <v>2707998.0000000005</v>
      </c>
      <c r="F660" s="20">
        <f>F661+F690</f>
        <v>2605419.3999999994</v>
      </c>
      <c r="G660" s="20">
        <f>G661+G690</f>
        <v>2832623.7</v>
      </c>
    </row>
    <row r="661" spans="1:7" ht="63" outlineLevel="2" x14ac:dyDescent="0.25">
      <c r="A661" s="33" t="s">
        <v>495</v>
      </c>
      <c r="B661" s="19" t="s">
        <v>227</v>
      </c>
      <c r="C661" s="19" t="s">
        <v>217</v>
      </c>
      <c r="D661" s="10"/>
      <c r="E661" s="20">
        <f>E664+E666+E668+E670+E674+E678+E680+E682+E684+E662+E676+E686++E688+E672</f>
        <v>2700900.8000000003</v>
      </c>
      <c r="F661" s="20">
        <f>F664+F666+F668+F670+F674+F678+F680+F682+F684+F662+F676+F686++F688</f>
        <v>2598606.2999999993</v>
      </c>
      <c r="G661" s="20">
        <f>G664+G666+G668+G670+G674+G678+G680+G682+G684+G662+G676+G686++G688</f>
        <v>2825810.6</v>
      </c>
    </row>
    <row r="662" spans="1:7" ht="78.75" outlineLevel="2" x14ac:dyDescent="0.25">
      <c r="A662" s="33" t="s">
        <v>234</v>
      </c>
      <c r="B662" s="19" t="s">
        <v>227</v>
      </c>
      <c r="C662" s="19" t="s">
        <v>618</v>
      </c>
      <c r="D662" s="19"/>
      <c r="E662" s="20">
        <f>E663</f>
        <v>186695.7</v>
      </c>
      <c r="F662" s="20">
        <f t="shared" ref="F662:G662" si="257">F663</f>
        <v>175684.4</v>
      </c>
      <c r="G662" s="20">
        <f t="shared" si="257"/>
        <v>171331.19999999998</v>
      </c>
    </row>
    <row r="663" spans="1:7" ht="47.25" outlineLevel="2" x14ac:dyDescent="0.25">
      <c r="A663" s="21" t="s">
        <v>94</v>
      </c>
      <c r="B663" s="19" t="s">
        <v>227</v>
      </c>
      <c r="C663" s="19" t="s">
        <v>618</v>
      </c>
      <c r="D663" s="19">
        <v>600</v>
      </c>
      <c r="E663" s="20">
        <v>186695.7</v>
      </c>
      <c r="F663" s="20">
        <v>175684.4</v>
      </c>
      <c r="G663" s="20">
        <v>171331.19999999998</v>
      </c>
    </row>
    <row r="664" spans="1:7" ht="63" outlineLevel="2" x14ac:dyDescent="0.25">
      <c r="A664" s="33" t="s">
        <v>235</v>
      </c>
      <c r="B664" s="19" t="s">
        <v>227</v>
      </c>
      <c r="C664" s="24" t="s">
        <v>236</v>
      </c>
      <c r="D664" s="58"/>
      <c r="E664" s="20">
        <f>E665</f>
        <v>39524.1</v>
      </c>
      <c r="F664" s="20">
        <f>F665</f>
        <v>35454.1</v>
      </c>
      <c r="G664" s="20">
        <f>G665</f>
        <v>35454.1</v>
      </c>
    </row>
    <row r="665" spans="1:7" ht="47.25" outlineLevel="2" x14ac:dyDescent="0.25">
      <c r="A665" s="21" t="s">
        <v>94</v>
      </c>
      <c r="B665" s="19" t="s">
        <v>227</v>
      </c>
      <c r="C665" s="24" t="s">
        <v>236</v>
      </c>
      <c r="D665" s="25">
        <v>600</v>
      </c>
      <c r="E665" s="20">
        <v>39524.1</v>
      </c>
      <c r="F665" s="20">
        <v>35454.1</v>
      </c>
      <c r="G665" s="20">
        <v>35454.1</v>
      </c>
    </row>
    <row r="666" spans="1:7" ht="47.25" outlineLevel="2" x14ac:dyDescent="0.25">
      <c r="A666" s="9" t="s">
        <v>151</v>
      </c>
      <c r="B666" s="19" t="s">
        <v>227</v>
      </c>
      <c r="C666" s="19" t="s">
        <v>218</v>
      </c>
      <c r="D666" s="10"/>
      <c r="E666" s="20">
        <f>E667</f>
        <v>563476</v>
      </c>
      <c r="F666" s="20">
        <f t="shared" ref="F666:G666" si="258">F667</f>
        <v>349257.89999999997</v>
      </c>
      <c r="G666" s="20">
        <f t="shared" si="258"/>
        <v>371929.4</v>
      </c>
    </row>
    <row r="667" spans="1:7" ht="47.25" outlineLevel="2" x14ac:dyDescent="0.25">
      <c r="A667" s="21" t="s">
        <v>94</v>
      </c>
      <c r="B667" s="19" t="s">
        <v>227</v>
      </c>
      <c r="C667" s="19" t="s">
        <v>218</v>
      </c>
      <c r="D667" s="10">
        <v>600</v>
      </c>
      <c r="E667" s="20">
        <f>544267.5+1388.7+1286.4+9551.8+330+1020.9+5153.6+7290.1-6813</f>
        <v>563476</v>
      </c>
      <c r="F667" s="20">
        <v>349257.89999999997</v>
      </c>
      <c r="G667" s="20">
        <v>371929.4</v>
      </c>
    </row>
    <row r="668" spans="1:7" ht="47.25" outlineLevel="2" x14ac:dyDescent="0.25">
      <c r="A668" s="33" t="s">
        <v>237</v>
      </c>
      <c r="B668" s="19" t="s">
        <v>227</v>
      </c>
      <c r="C668" s="19" t="s">
        <v>238</v>
      </c>
      <c r="D668" s="10"/>
      <c r="E668" s="20">
        <f>E669</f>
        <v>83811.799999999988</v>
      </c>
      <c r="F668" s="20">
        <f t="shared" ref="F668:G668" si="259">F669</f>
        <v>73083.399999999994</v>
      </c>
      <c r="G668" s="20">
        <f t="shared" si="259"/>
        <v>73083.399999999994</v>
      </c>
    </row>
    <row r="669" spans="1:7" ht="47.25" outlineLevel="2" x14ac:dyDescent="0.25">
      <c r="A669" s="21" t="s">
        <v>94</v>
      </c>
      <c r="B669" s="19" t="s">
        <v>227</v>
      </c>
      <c r="C669" s="19" t="s">
        <v>238</v>
      </c>
      <c r="D669" s="10">
        <v>600</v>
      </c>
      <c r="E669" s="20">
        <f>73083.4+10728.4</f>
        <v>83811.799999999988</v>
      </c>
      <c r="F669" s="20">
        <v>73083.399999999994</v>
      </c>
      <c r="G669" s="20">
        <v>73083.399999999994</v>
      </c>
    </row>
    <row r="670" spans="1:7" ht="63" outlineLevel="2" x14ac:dyDescent="0.25">
      <c r="A670" s="33" t="s">
        <v>239</v>
      </c>
      <c r="B670" s="19" t="s">
        <v>227</v>
      </c>
      <c r="C670" s="24" t="s">
        <v>240</v>
      </c>
      <c r="D670" s="58"/>
      <c r="E670" s="20">
        <f>E671</f>
        <v>798</v>
      </c>
      <c r="F670" s="20">
        <f t="shared" ref="F670:G670" si="260">F671</f>
        <v>1000</v>
      </c>
      <c r="G670" s="20">
        <f t="shared" si="260"/>
        <v>1000</v>
      </c>
    </row>
    <row r="671" spans="1:7" ht="47.25" outlineLevel="2" x14ac:dyDescent="0.25">
      <c r="A671" s="21" t="s">
        <v>94</v>
      </c>
      <c r="B671" s="19" t="s">
        <v>227</v>
      </c>
      <c r="C671" s="24" t="s">
        <v>240</v>
      </c>
      <c r="D671" s="25">
        <v>600</v>
      </c>
      <c r="E671" s="20">
        <v>798</v>
      </c>
      <c r="F671" s="20">
        <v>1000</v>
      </c>
      <c r="G671" s="20">
        <v>1000</v>
      </c>
    </row>
    <row r="672" spans="1:7" ht="110.25" outlineLevel="2" x14ac:dyDescent="0.25">
      <c r="A672" s="21" t="s">
        <v>729</v>
      </c>
      <c r="B672" s="19" t="s">
        <v>227</v>
      </c>
      <c r="C672" s="19" t="s">
        <v>730</v>
      </c>
      <c r="D672" s="19"/>
      <c r="E672" s="20">
        <f>E673</f>
        <v>100</v>
      </c>
      <c r="F672" s="20">
        <f t="shared" ref="F672:G672" si="261">F673</f>
        <v>0</v>
      </c>
      <c r="G672" s="20">
        <f t="shared" si="261"/>
        <v>0</v>
      </c>
    </row>
    <row r="673" spans="1:7" ht="47.25" outlineLevel="2" x14ac:dyDescent="0.25">
      <c r="A673" s="21" t="s">
        <v>94</v>
      </c>
      <c r="B673" s="19" t="s">
        <v>227</v>
      </c>
      <c r="C673" s="19" t="s">
        <v>730</v>
      </c>
      <c r="D673" s="19">
        <v>600</v>
      </c>
      <c r="E673" s="20">
        <v>100</v>
      </c>
      <c r="F673" s="20">
        <v>0</v>
      </c>
      <c r="G673" s="20">
        <v>0</v>
      </c>
    </row>
    <row r="674" spans="1:7" ht="78.75" outlineLevel="2" x14ac:dyDescent="0.25">
      <c r="A674" s="33" t="s">
        <v>241</v>
      </c>
      <c r="B674" s="19" t="s">
        <v>227</v>
      </c>
      <c r="C674" s="24" t="s">
        <v>242</v>
      </c>
      <c r="D674" s="25"/>
      <c r="E674" s="20">
        <f>E675</f>
        <v>7812.3000000000011</v>
      </c>
      <c r="F674" s="20">
        <f t="shared" ref="F674:G674" si="262">F675</f>
        <v>8382.2000000000007</v>
      </c>
      <c r="G674" s="20">
        <f t="shared" si="262"/>
        <v>8382.2000000000007</v>
      </c>
    </row>
    <row r="675" spans="1:7" ht="47.25" outlineLevel="2" x14ac:dyDescent="0.25">
      <c r="A675" s="21" t="s">
        <v>94</v>
      </c>
      <c r="B675" s="19" t="s">
        <v>227</v>
      </c>
      <c r="C675" s="24" t="s">
        <v>242</v>
      </c>
      <c r="D675" s="25">
        <v>600</v>
      </c>
      <c r="E675" s="20">
        <v>7812.3000000000011</v>
      </c>
      <c r="F675" s="20">
        <v>8382.2000000000007</v>
      </c>
      <c r="G675" s="20">
        <v>8382.2000000000007</v>
      </c>
    </row>
    <row r="676" spans="1:7" ht="141.75" outlineLevel="2" x14ac:dyDescent="0.25">
      <c r="A676" s="33" t="s">
        <v>619</v>
      </c>
      <c r="B676" s="19" t="s">
        <v>227</v>
      </c>
      <c r="C676" s="19" t="s">
        <v>620</v>
      </c>
      <c r="D676" s="19"/>
      <c r="E676" s="20">
        <f>E677</f>
        <v>190.3</v>
      </c>
      <c r="F676" s="20">
        <f t="shared" ref="F676:G676" si="263">F677</f>
        <v>190.3</v>
      </c>
      <c r="G676" s="20">
        <f t="shared" si="263"/>
        <v>190.3</v>
      </c>
    </row>
    <row r="677" spans="1:7" ht="47.25" outlineLevel="2" x14ac:dyDescent="0.25">
      <c r="A677" s="21" t="s">
        <v>94</v>
      </c>
      <c r="B677" s="19" t="s">
        <v>227</v>
      </c>
      <c r="C677" s="19" t="s">
        <v>620</v>
      </c>
      <c r="D677" s="19" t="s">
        <v>95</v>
      </c>
      <c r="E677" s="20">
        <v>190.3</v>
      </c>
      <c r="F677" s="20">
        <v>190.3</v>
      </c>
      <c r="G677" s="20">
        <v>190.3</v>
      </c>
    </row>
    <row r="678" spans="1:7" ht="157.5" outlineLevel="2" x14ac:dyDescent="0.25">
      <c r="A678" s="33" t="s">
        <v>244</v>
      </c>
      <c r="B678" s="19" t="s">
        <v>227</v>
      </c>
      <c r="C678" s="31" t="s">
        <v>245</v>
      </c>
      <c r="D678" s="2"/>
      <c r="E678" s="20">
        <f>E679</f>
        <v>8432</v>
      </c>
      <c r="F678" s="20">
        <f t="shared" ref="F678:G678" si="264">F679</f>
        <v>8630.1999999999989</v>
      </c>
      <c r="G678" s="20">
        <f t="shared" si="264"/>
        <v>8630.2000000000007</v>
      </c>
    </row>
    <row r="679" spans="1:7" ht="47.25" outlineLevel="2" x14ac:dyDescent="0.25">
      <c r="A679" s="21" t="s">
        <v>94</v>
      </c>
      <c r="B679" s="19" t="s">
        <v>227</v>
      </c>
      <c r="C679" s="31" t="s">
        <v>245</v>
      </c>
      <c r="D679" s="2">
        <v>600</v>
      </c>
      <c r="E679" s="20">
        <v>8432</v>
      </c>
      <c r="F679" s="20">
        <v>8630.1999999999989</v>
      </c>
      <c r="G679" s="20">
        <v>8630.2000000000007</v>
      </c>
    </row>
    <row r="680" spans="1:7" ht="94.5" outlineLevel="2" x14ac:dyDescent="0.25">
      <c r="A680" s="33" t="s">
        <v>246</v>
      </c>
      <c r="B680" s="19" t="s">
        <v>227</v>
      </c>
      <c r="C680" s="19" t="s">
        <v>247</v>
      </c>
      <c r="D680" s="10"/>
      <c r="E680" s="20">
        <f>E681</f>
        <v>198</v>
      </c>
      <c r="F680" s="20">
        <f t="shared" ref="F680:G680" si="265">F681</f>
        <v>198</v>
      </c>
      <c r="G680" s="20">
        <f t="shared" si="265"/>
        <v>198</v>
      </c>
    </row>
    <row r="681" spans="1:7" ht="47.25" outlineLevel="2" x14ac:dyDescent="0.25">
      <c r="A681" s="18" t="s">
        <v>94</v>
      </c>
      <c r="B681" s="19" t="s">
        <v>227</v>
      </c>
      <c r="C681" s="19" t="s">
        <v>247</v>
      </c>
      <c r="D681" s="10">
        <v>600</v>
      </c>
      <c r="E681" s="20">
        <v>198</v>
      </c>
      <c r="F681" s="20">
        <v>198</v>
      </c>
      <c r="G681" s="20">
        <v>198</v>
      </c>
    </row>
    <row r="682" spans="1:7" ht="204.75" outlineLevel="2" x14ac:dyDescent="0.25">
      <c r="A682" s="33" t="s">
        <v>221</v>
      </c>
      <c r="B682" s="19" t="s">
        <v>227</v>
      </c>
      <c r="C682" s="19" t="s">
        <v>222</v>
      </c>
      <c r="D682" s="19"/>
      <c r="E682" s="20">
        <f>E683</f>
        <v>1778140.5</v>
      </c>
      <c r="F682" s="20">
        <f t="shared" ref="F682:G682" si="266">F683</f>
        <v>1919825.4</v>
      </c>
      <c r="G682" s="20">
        <f t="shared" si="266"/>
        <v>2128754.9</v>
      </c>
    </row>
    <row r="683" spans="1:7" ht="47.25" outlineLevel="2" x14ac:dyDescent="0.25">
      <c r="A683" s="21" t="s">
        <v>94</v>
      </c>
      <c r="B683" s="19" t="s">
        <v>227</v>
      </c>
      <c r="C683" s="19" t="s">
        <v>222</v>
      </c>
      <c r="D683" s="19" t="s">
        <v>95</v>
      </c>
      <c r="E683" s="20">
        <v>1778140.5</v>
      </c>
      <c r="F683" s="20">
        <v>1919825.4</v>
      </c>
      <c r="G683" s="20">
        <v>2128754.9</v>
      </c>
    </row>
    <row r="684" spans="1:7" ht="189" outlineLevel="2" x14ac:dyDescent="0.25">
      <c r="A684" s="33" t="s">
        <v>248</v>
      </c>
      <c r="B684" s="19" t="s">
        <v>227</v>
      </c>
      <c r="C684" s="19" t="s">
        <v>249</v>
      </c>
      <c r="D684" s="19"/>
      <c r="E684" s="20">
        <f>E685</f>
        <v>24899.800000000003</v>
      </c>
      <c r="F684" s="20">
        <f t="shared" ref="F684:G684" si="267">F685</f>
        <v>24894.600000000002</v>
      </c>
      <c r="G684" s="20">
        <f t="shared" si="267"/>
        <v>24894.600000000002</v>
      </c>
    </row>
    <row r="685" spans="1:7" ht="47.25" outlineLevel="2" x14ac:dyDescent="0.25">
      <c r="A685" s="21" t="s">
        <v>94</v>
      </c>
      <c r="B685" s="19" t="s">
        <v>227</v>
      </c>
      <c r="C685" s="19" t="s">
        <v>249</v>
      </c>
      <c r="D685" s="19" t="s">
        <v>95</v>
      </c>
      <c r="E685" s="20">
        <v>24899.800000000003</v>
      </c>
      <c r="F685" s="20">
        <v>24894.600000000002</v>
      </c>
      <c r="G685" s="20">
        <v>24894.600000000002</v>
      </c>
    </row>
    <row r="686" spans="1:7" ht="141.75" outlineLevel="2" x14ac:dyDescent="0.25">
      <c r="A686" s="21" t="s">
        <v>267</v>
      </c>
      <c r="B686" s="19" t="s">
        <v>227</v>
      </c>
      <c r="C686" s="19" t="s">
        <v>268</v>
      </c>
      <c r="D686" s="19"/>
      <c r="E686" s="20">
        <f>E687</f>
        <v>2162.6</v>
      </c>
      <c r="F686" s="20">
        <f t="shared" ref="F686:G686" si="268">F687</f>
        <v>2005.8</v>
      </c>
      <c r="G686" s="20">
        <f t="shared" si="268"/>
        <v>1962.3</v>
      </c>
    </row>
    <row r="687" spans="1:7" ht="47.25" outlineLevel="2" x14ac:dyDescent="0.25">
      <c r="A687" s="21" t="s">
        <v>94</v>
      </c>
      <c r="B687" s="19" t="s">
        <v>227</v>
      </c>
      <c r="C687" s="19" t="s">
        <v>268</v>
      </c>
      <c r="D687" s="19" t="s">
        <v>95</v>
      </c>
      <c r="E687" s="20">
        <v>2162.6</v>
      </c>
      <c r="F687" s="20">
        <v>2005.8</v>
      </c>
      <c r="G687" s="20">
        <v>1962.3</v>
      </c>
    </row>
    <row r="688" spans="1:7" ht="204.75" outlineLevel="2" x14ac:dyDescent="0.25">
      <c r="A688" s="21" t="s">
        <v>621</v>
      </c>
      <c r="B688" s="19" t="s">
        <v>227</v>
      </c>
      <c r="C688" s="19" t="s">
        <v>622</v>
      </c>
      <c r="D688" s="19"/>
      <c r="E688" s="20">
        <f>E689</f>
        <v>4659.7</v>
      </c>
      <c r="F688" s="20">
        <f t="shared" ref="F688:G688" si="269">F689</f>
        <v>0</v>
      </c>
      <c r="G688" s="20">
        <f t="shared" si="269"/>
        <v>0</v>
      </c>
    </row>
    <row r="689" spans="1:7" ht="47.25" outlineLevel="2" x14ac:dyDescent="0.25">
      <c r="A689" s="21" t="s">
        <v>94</v>
      </c>
      <c r="B689" s="19" t="s">
        <v>227</v>
      </c>
      <c r="C689" s="19" t="s">
        <v>622</v>
      </c>
      <c r="D689" s="19" t="s">
        <v>95</v>
      </c>
      <c r="E689" s="20">
        <v>4659.7</v>
      </c>
      <c r="F689" s="20">
        <v>0</v>
      </c>
      <c r="G689" s="20">
        <v>0</v>
      </c>
    </row>
    <row r="690" spans="1:7" ht="63" outlineLevel="2" x14ac:dyDescent="0.25">
      <c r="A690" s="33" t="s">
        <v>489</v>
      </c>
      <c r="B690" s="19" t="s">
        <v>227</v>
      </c>
      <c r="C690" s="19" t="s">
        <v>223</v>
      </c>
      <c r="D690" s="10"/>
      <c r="E690" s="20">
        <f>E691+E695+E697+E699+E693</f>
        <v>7097.2000000000007</v>
      </c>
      <c r="F690" s="20">
        <f t="shared" ref="F690:G690" si="270">F691+F695+F697+F699</f>
        <v>6813.1</v>
      </c>
      <c r="G690" s="20">
        <f t="shared" si="270"/>
        <v>6813.1</v>
      </c>
    </row>
    <row r="691" spans="1:7" ht="31.5" outlineLevel="2" x14ac:dyDescent="0.25">
      <c r="A691" s="42" t="s">
        <v>250</v>
      </c>
      <c r="B691" s="24" t="s">
        <v>227</v>
      </c>
      <c r="C691" s="24" t="s">
        <v>251</v>
      </c>
      <c r="D691" s="25"/>
      <c r="E691" s="20">
        <f>E692</f>
        <v>1432.2</v>
      </c>
      <c r="F691" s="20">
        <f t="shared" ref="F691:G691" si="271">F692</f>
        <v>813.7</v>
      </c>
      <c r="G691" s="20">
        <f t="shared" si="271"/>
        <v>813.7</v>
      </c>
    </row>
    <row r="692" spans="1:7" ht="47.25" outlineLevel="2" x14ac:dyDescent="0.25">
      <c r="A692" s="21" t="s">
        <v>94</v>
      </c>
      <c r="B692" s="24" t="s">
        <v>227</v>
      </c>
      <c r="C692" s="24" t="s">
        <v>251</v>
      </c>
      <c r="D692" s="25">
        <v>600</v>
      </c>
      <c r="E692" s="20">
        <v>1432.2</v>
      </c>
      <c r="F692" s="20">
        <v>813.7</v>
      </c>
      <c r="G692" s="20">
        <v>813.7</v>
      </c>
    </row>
    <row r="693" spans="1:7" ht="31.5" outlineLevel="2" x14ac:dyDescent="0.25">
      <c r="A693" s="33" t="s">
        <v>280</v>
      </c>
      <c r="B693" s="19" t="s">
        <v>227</v>
      </c>
      <c r="C693" s="19" t="s">
        <v>281</v>
      </c>
      <c r="D693" s="19"/>
      <c r="E693" s="20">
        <f>E694</f>
        <v>681.1</v>
      </c>
      <c r="F693" s="20">
        <f t="shared" ref="F693:G693" si="272">F694</f>
        <v>0</v>
      </c>
      <c r="G693" s="20">
        <f t="shared" si="272"/>
        <v>0</v>
      </c>
    </row>
    <row r="694" spans="1:7" ht="47.25" outlineLevel="2" x14ac:dyDescent="0.25">
      <c r="A694" s="21" t="s">
        <v>94</v>
      </c>
      <c r="B694" s="19" t="s">
        <v>227</v>
      </c>
      <c r="C694" s="19" t="s">
        <v>281</v>
      </c>
      <c r="D694" s="19">
        <v>600</v>
      </c>
      <c r="E694" s="20">
        <f>655.7+25.4</f>
        <v>681.1</v>
      </c>
      <c r="F694" s="20">
        <v>0</v>
      </c>
      <c r="G694" s="20">
        <v>0</v>
      </c>
    </row>
    <row r="695" spans="1:7" ht="47.25" outlineLevel="2" x14ac:dyDescent="0.25">
      <c r="A695" s="30" t="s">
        <v>252</v>
      </c>
      <c r="B695" s="19" t="s">
        <v>227</v>
      </c>
      <c r="C695" s="24" t="s">
        <v>253</v>
      </c>
      <c r="D695" s="58"/>
      <c r="E695" s="20">
        <f>E696</f>
        <v>1010</v>
      </c>
      <c r="F695" s="20">
        <f t="shared" ref="F695:G695" si="273">F696</f>
        <v>660</v>
      </c>
      <c r="G695" s="20">
        <f t="shared" si="273"/>
        <v>660</v>
      </c>
    </row>
    <row r="696" spans="1:7" ht="47.25" outlineLevel="2" x14ac:dyDescent="0.25">
      <c r="A696" s="21" t="s">
        <v>94</v>
      </c>
      <c r="B696" s="19" t="s">
        <v>227</v>
      </c>
      <c r="C696" s="24" t="s">
        <v>253</v>
      </c>
      <c r="D696" s="25">
        <v>600</v>
      </c>
      <c r="E696" s="20">
        <v>1010</v>
      </c>
      <c r="F696" s="20">
        <v>660</v>
      </c>
      <c r="G696" s="20">
        <v>660</v>
      </c>
    </row>
    <row r="697" spans="1:7" ht="47.25" outlineLevel="2" x14ac:dyDescent="0.25">
      <c r="A697" s="30" t="s">
        <v>254</v>
      </c>
      <c r="B697" s="24" t="s">
        <v>227</v>
      </c>
      <c r="C697" s="24" t="s">
        <v>225</v>
      </c>
      <c r="D697" s="25"/>
      <c r="E697" s="20">
        <f>E698</f>
        <v>3364</v>
      </c>
      <c r="F697" s="20">
        <f t="shared" ref="F697:G697" si="274">F698</f>
        <v>2539.4</v>
      </c>
      <c r="G697" s="20">
        <f t="shared" si="274"/>
        <v>2539.4</v>
      </c>
    </row>
    <row r="698" spans="1:7" ht="47.25" outlineLevel="2" x14ac:dyDescent="0.25">
      <c r="A698" s="21" t="s">
        <v>94</v>
      </c>
      <c r="B698" s="24" t="s">
        <v>227</v>
      </c>
      <c r="C698" s="24" t="s">
        <v>225</v>
      </c>
      <c r="D698" s="25">
        <v>600</v>
      </c>
      <c r="E698" s="20">
        <f>2539.4+824.6</f>
        <v>3364</v>
      </c>
      <c r="F698" s="20">
        <v>2539.4</v>
      </c>
      <c r="G698" s="20">
        <v>2539.4</v>
      </c>
    </row>
    <row r="699" spans="1:7" ht="126" outlineLevel="2" x14ac:dyDescent="0.25">
      <c r="A699" s="33" t="s">
        <v>255</v>
      </c>
      <c r="B699" s="24" t="s">
        <v>227</v>
      </c>
      <c r="C699" s="24" t="s">
        <v>256</v>
      </c>
      <c r="D699" s="25"/>
      <c r="E699" s="20">
        <f>E700</f>
        <v>609.90000000000009</v>
      </c>
      <c r="F699" s="20">
        <f t="shared" ref="F699:G699" si="275">F700</f>
        <v>2800</v>
      </c>
      <c r="G699" s="20">
        <f t="shared" si="275"/>
        <v>2800</v>
      </c>
    </row>
    <row r="700" spans="1:7" ht="31.5" outlineLevel="2" x14ac:dyDescent="0.25">
      <c r="A700" s="21" t="s">
        <v>20</v>
      </c>
      <c r="B700" s="24" t="s">
        <v>227</v>
      </c>
      <c r="C700" s="24" t="s">
        <v>256</v>
      </c>
      <c r="D700" s="25">
        <v>300</v>
      </c>
      <c r="E700" s="20">
        <f>2109.9-1500</f>
        <v>609.90000000000009</v>
      </c>
      <c r="F700" s="20">
        <v>2800</v>
      </c>
      <c r="G700" s="20">
        <v>2800</v>
      </c>
    </row>
    <row r="701" spans="1:7" outlineLevel="1" x14ac:dyDescent="0.25">
      <c r="A701" s="21" t="s">
        <v>257</v>
      </c>
      <c r="B701" s="24" t="s">
        <v>258</v>
      </c>
      <c r="C701" s="24"/>
      <c r="D701" s="25"/>
      <c r="E701" s="20">
        <f>E702+E719</f>
        <v>515684.29999999993</v>
      </c>
      <c r="F701" s="20">
        <f t="shared" ref="F701:G701" si="276">F702+F719</f>
        <v>491860.8</v>
      </c>
      <c r="G701" s="20">
        <f t="shared" si="276"/>
        <v>509749.5</v>
      </c>
    </row>
    <row r="702" spans="1:7" ht="31.5" outlineLevel="2" x14ac:dyDescent="0.25">
      <c r="A702" s="21" t="s">
        <v>209</v>
      </c>
      <c r="B702" s="19" t="s">
        <v>258</v>
      </c>
      <c r="C702" s="19" t="s">
        <v>210</v>
      </c>
      <c r="D702" s="59"/>
      <c r="E702" s="20">
        <f>E707+E703</f>
        <v>318615.89999999997</v>
      </c>
      <c r="F702" s="20">
        <f t="shared" ref="F702:G702" si="277">F707+F703</f>
        <v>293286.5</v>
      </c>
      <c r="G702" s="20">
        <f t="shared" si="277"/>
        <v>301110.3</v>
      </c>
    </row>
    <row r="703" spans="1:7" ht="31.5" outlineLevel="2" x14ac:dyDescent="0.25">
      <c r="A703" s="21" t="s">
        <v>155</v>
      </c>
      <c r="B703" s="19" t="s">
        <v>258</v>
      </c>
      <c r="C703" s="19" t="s">
        <v>211</v>
      </c>
      <c r="D703" s="19"/>
      <c r="E703" s="20">
        <f>E704</f>
        <v>24262</v>
      </c>
      <c r="F703" s="20">
        <f t="shared" ref="F703:G705" si="278">F704</f>
        <v>0</v>
      </c>
      <c r="G703" s="20">
        <f t="shared" si="278"/>
        <v>0</v>
      </c>
    </row>
    <row r="704" spans="1:7" ht="47.25" outlineLevel="2" x14ac:dyDescent="0.25">
      <c r="A704" s="23" t="s">
        <v>212</v>
      </c>
      <c r="B704" s="19" t="s">
        <v>258</v>
      </c>
      <c r="C704" s="19" t="s">
        <v>213</v>
      </c>
      <c r="D704" s="19"/>
      <c r="E704" s="20">
        <f>E705</f>
        <v>24262</v>
      </c>
      <c r="F704" s="20">
        <f t="shared" si="278"/>
        <v>0</v>
      </c>
      <c r="G704" s="20">
        <f t="shared" si="278"/>
        <v>0</v>
      </c>
    </row>
    <row r="705" spans="1:7" ht="78.75" outlineLevel="2" x14ac:dyDescent="0.25">
      <c r="A705" s="21" t="s">
        <v>744</v>
      </c>
      <c r="B705" s="19" t="s">
        <v>258</v>
      </c>
      <c r="C705" s="19" t="s">
        <v>745</v>
      </c>
      <c r="D705" s="19"/>
      <c r="E705" s="20">
        <f>E706</f>
        <v>24262</v>
      </c>
      <c r="F705" s="20">
        <f t="shared" si="278"/>
        <v>0</v>
      </c>
      <c r="G705" s="20">
        <f t="shared" si="278"/>
        <v>0</v>
      </c>
    </row>
    <row r="706" spans="1:7" ht="47.25" outlineLevel="2" x14ac:dyDescent="0.25">
      <c r="A706" s="21" t="s">
        <v>94</v>
      </c>
      <c r="B706" s="19" t="s">
        <v>258</v>
      </c>
      <c r="C706" s="19" t="s">
        <v>745</v>
      </c>
      <c r="D706" s="19" t="s">
        <v>95</v>
      </c>
      <c r="E706" s="20">
        <v>24262</v>
      </c>
      <c r="F706" s="20">
        <v>0</v>
      </c>
      <c r="G706" s="20">
        <v>0</v>
      </c>
    </row>
    <row r="707" spans="1:7" outlineLevel="2" x14ac:dyDescent="0.25">
      <c r="A707" s="21" t="s">
        <v>144</v>
      </c>
      <c r="B707" s="19" t="s">
        <v>258</v>
      </c>
      <c r="C707" s="19" t="s">
        <v>216</v>
      </c>
      <c r="D707" s="59"/>
      <c r="E707" s="20">
        <f>E708+E716</f>
        <v>294353.89999999997</v>
      </c>
      <c r="F707" s="20">
        <f t="shared" ref="F707:G707" si="279">F708+F716</f>
        <v>293286.5</v>
      </c>
      <c r="G707" s="20">
        <f t="shared" si="279"/>
        <v>301110.3</v>
      </c>
    </row>
    <row r="708" spans="1:7" ht="63" outlineLevel="2" x14ac:dyDescent="0.25">
      <c r="A708" s="33" t="s">
        <v>495</v>
      </c>
      <c r="B708" s="19" t="s">
        <v>258</v>
      </c>
      <c r="C708" s="19" t="s">
        <v>217</v>
      </c>
      <c r="D708" s="59"/>
      <c r="E708" s="20">
        <f>E709+E711+E714</f>
        <v>294288.8</v>
      </c>
      <c r="F708" s="20">
        <f t="shared" ref="F708:G708" si="280">F709+F711+F714</f>
        <v>293286.5</v>
      </c>
      <c r="G708" s="20">
        <f t="shared" si="280"/>
        <v>301110.3</v>
      </c>
    </row>
    <row r="709" spans="1:7" ht="47.25" outlineLevel="2" x14ac:dyDescent="0.25">
      <c r="A709" s="9" t="s">
        <v>151</v>
      </c>
      <c r="B709" s="19" t="s">
        <v>258</v>
      </c>
      <c r="C709" s="19" t="s">
        <v>218</v>
      </c>
      <c r="D709" s="10"/>
      <c r="E709" s="20">
        <f>E710</f>
        <v>185485.7</v>
      </c>
      <c r="F709" s="20">
        <f t="shared" ref="F709:G709" si="281">F710</f>
        <v>179767.8</v>
      </c>
      <c r="G709" s="20">
        <f t="shared" si="281"/>
        <v>187417.2</v>
      </c>
    </row>
    <row r="710" spans="1:7" ht="47.25" outlineLevel="2" x14ac:dyDescent="0.25">
      <c r="A710" s="21" t="s">
        <v>94</v>
      </c>
      <c r="B710" s="19" t="s">
        <v>258</v>
      </c>
      <c r="C710" s="19" t="s">
        <v>218</v>
      </c>
      <c r="D710" s="10">
        <v>600</v>
      </c>
      <c r="E710" s="20">
        <f>178459.7+213+6813</f>
        <v>185485.7</v>
      </c>
      <c r="F710" s="20">
        <v>179767.8</v>
      </c>
      <c r="G710" s="20">
        <v>187417.2</v>
      </c>
    </row>
    <row r="711" spans="1:7" ht="47.25" outlineLevel="2" x14ac:dyDescent="0.25">
      <c r="A711" s="33" t="s">
        <v>259</v>
      </c>
      <c r="B711" s="19" t="s">
        <v>258</v>
      </c>
      <c r="C711" s="19" t="s">
        <v>260</v>
      </c>
      <c r="D711" s="10"/>
      <c r="E711" s="20">
        <f>E712+E713</f>
        <v>108483</v>
      </c>
      <c r="F711" s="20">
        <f t="shared" ref="F711:G711" si="282">F712+F713</f>
        <v>113198.6</v>
      </c>
      <c r="G711" s="20">
        <f t="shared" si="282"/>
        <v>113373</v>
      </c>
    </row>
    <row r="712" spans="1:7" ht="47.25" outlineLevel="2" x14ac:dyDescent="0.25">
      <c r="A712" s="21" t="s">
        <v>94</v>
      </c>
      <c r="B712" s="19" t="s">
        <v>258</v>
      </c>
      <c r="C712" s="19" t="s">
        <v>260</v>
      </c>
      <c r="D712" s="10">
        <v>600</v>
      </c>
      <c r="E712" s="20">
        <v>104843</v>
      </c>
      <c r="F712" s="20">
        <v>107088.6</v>
      </c>
      <c r="G712" s="20">
        <v>107263</v>
      </c>
    </row>
    <row r="713" spans="1:7" outlineLevel="2" x14ac:dyDescent="0.25">
      <c r="A713" s="18" t="s">
        <v>33</v>
      </c>
      <c r="B713" s="19" t="s">
        <v>258</v>
      </c>
      <c r="C713" s="19" t="s">
        <v>260</v>
      </c>
      <c r="D713" s="10">
        <v>800</v>
      </c>
      <c r="E713" s="20">
        <v>3640</v>
      </c>
      <c r="F713" s="20">
        <v>6110</v>
      </c>
      <c r="G713" s="20">
        <v>6110</v>
      </c>
    </row>
    <row r="714" spans="1:7" ht="126" outlineLevel="2" x14ac:dyDescent="0.25">
      <c r="A714" s="33" t="s">
        <v>261</v>
      </c>
      <c r="B714" s="19" t="s">
        <v>258</v>
      </c>
      <c r="C714" s="19" t="s">
        <v>262</v>
      </c>
      <c r="D714" s="10"/>
      <c r="E714" s="20">
        <f>E715</f>
        <v>320.10000000000002</v>
      </c>
      <c r="F714" s="20">
        <f t="shared" ref="F714:G714" si="283">F715</f>
        <v>320.10000000000002</v>
      </c>
      <c r="G714" s="20">
        <f t="shared" si="283"/>
        <v>320.10000000000002</v>
      </c>
    </row>
    <row r="715" spans="1:7" ht="47.25" outlineLevel="2" x14ac:dyDescent="0.25">
      <c r="A715" s="21" t="s">
        <v>94</v>
      </c>
      <c r="B715" s="19" t="s">
        <v>258</v>
      </c>
      <c r="C715" s="19" t="s">
        <v>262</v>
      </c>
      <c r="D715" s="10">
        <v>600</v>
      </c>
      <c r="E715" s="20">
        <v>320.10000000000002</v>
      </c>
      <c r="F715" s="20">
        <v>320.10000000000002</v>
      </c>
      <c r="G715" s="20">
        <v>320.10000000000002</v>
      </c>
    </row>
    <row r="716" spans="1:7" ht="63" outlineLevel="2" x14ac:dyDescent="0.25">
      <c r="A716" s="23" t="s">
        <v>489</v>
      </c>
      <c r="B716" s="19" t="s">
        <v>258</v>
      </c>
      <c r="C716" s="19" t="s">
        <v>223</v>
      </c>
      <c r="D716" s="19"/>
      <c r="E716" s="20">
        <f>E717</f>
        <v>65.099999999999994</v>
      </c>
      <c r="F716" s="20">
        <f t="shared" ref="F716:G717" si="284">F717</f>
        <v>0</v>
      </c>
      <c r="G716" s="20">
        <f t="shared" si="284"/>
        <v>0</v>
      </c>
    </row>
    <row r="717" spans="1:7" ht="31.5" outlineLevel="2" x14ac:dyDescent="0.25">
      <c r="A717" s="9" t="s">
        <v>250</v>
      </c>
      <c r="B717" s="19" t="s">
        <v>258</v>
      </c>
      <c r="C717" s="19" t="s">
        <v>251</v>
      </c>
      <c r="D717" s="19"/>
      <c r="E717" s="20">
        <f>E718</f>
        <v>65.099999999999994</v>
      </c>
      <c r="F717" s="20">
        <f t="shared" si="284"/>
        <v>0</v>
      </c>
      <c r="G717" s="20">
        <f t="shared" si="284"/>
        <v>0</v>
      </c>
    </row>
    <row r="718" spans="1:7" ht="47.25" outlineLevel="2" x14ac:dyDescent="0.25">
      <c r="A718" s="21" t="s">
        <v>94</v>
      </c>
      <c r="B718" s="19" t="s">
        <v>258</v>
      </c>
      <c r="C718" s="19" t="s">
        <v>251</v>
      </c>
      <c r="D718" s="19">
        <v>600</v>
      </c>
      <c r="E718" s="20">
        <v>65.099999999999994</v>
      </c>
      <c r="F718" s="20">
        <v>0</v>
      </c>
      <c r="G718" s="20">
        <v>0</v>
      </c>
    </row>
    <row r="719" spans="1:7" ht="31.5" outlineLevel="2" x14ac:dyDescent="0.25">
      <c r="A719" s="21" t="s">
        <v>153</v>
      </c>
      <c r="B719" s="31" t="s">
        <v>258</v>
      </c>
      <c r="C719" s="31" t="s">
        <v>96</v>
      </c>
      <c r="D719" s="2"/>
      <c r="E719" s="20">
        <f t="shared" ref="E719:G722" si="285">E720</f>
        <v>197068.4</v>
      </c>
      <c r="F719" s="20">
        <f t="shared" si="285"/>
        <v>198574.3</v>
      </c>
      <c r="G719" s="20">
        <f t="shared" si="285"/>
        <v>208639.2</v>
      </c>
    </row>
    <row r="720" spans="1:7" outlineLevel="2" x14ac:dyDescent="0.25">
      <c r="A720" s="21" t="s">
        <v>144</v>
      </c>
      <c r="B720" s="31" t="s">
        <v>258</v>
      </c>
      <c r="C720" s="31" t="s">
        <v>107</v>
      </c>
      <c r="D720" s="2"/>
      <c r="E720" s="20">
        <f t="shared" si="285"/>
        <v>197068.4</v>
      </c>
      <c r="F720" s="20">
        <f t="shared" si="285"/>
        <v>198574.3</v>
      </c>
      <c r="G720" s="20">
        <f t="shared" si="285"/>
        <v>208639.2</v>
      </c>
    </row>
    <row r="721" spans="1:7" ht="78.75" outlineLevel="2" x14ac:dyDescent="0.25">
      <c r="A721" s="21" t="s">
        <v>154</v>
      </c>
      <c r="B721" s="31" t="s">
        <v>258</v>
      </c>
      <c r="C721" s="31" t="s">
        <v>108</v>
      </c>
      <c r="D721" s="31"/>
      <c r="E721" s="20">
        <f t="shared" si="285"/>
        <v>197068.4</v>
      </c>
      <c r="F721" s="20">
        <f t="shared" si="285"/>
        <v>198574.3</v>
      </c>
      <c r="G721" s="20">
        <f t="shared" si="285"/>
        <v>208639.2</v>
      </c>
    </row>
    <row r="722" spans="1:7" ht="47.25" outlineLevel="2" x14ac:dyDescent="0.25">
      <c r="A722" s="21" t="s">
        <v>151</v>
      </c>
      <c r="B722" s="31" t="s">
        <v>258</v>
      </c>
      <c r="C722" s="31" t="s">
        <v>109</v>
      </c>
      <c r="D722" s="31"/>
      <c r="E722" s="20">
        <f t="shared" si="285"/>
        <v>197068.4</v>
      </c>
      <c r="F722" s="20">
        <f t="shared" si="285"/>
        <v>198574.3</v>
      </c>
      <c r="G722" s="20">
        <f t="shared" si="285"/>
        <v>208639.2</v>
      </c>
    </row>
    <row r="723" spans="1:7" ht="47.25" outlineLevel="2" x14ac:dyDescent="0.25">
      <c r="A723" s="21" t="s">
        <v>94</v>
      </c>
      <c r="B723" s="31" t="s">
        <v>258</v>
      </c>
      <c r="C723" s="31" t="s">
        <v>109</v>
      </c>
      <c r="D723" s="31" t="s">
        <v>95</v>
      </c>
      <c r="E723" s="20">
        <f>197520-451.6</f>
        <v>197068.4</v>
      </c>
      <c r="F723" s="20">
        <v>198574.3</v>
      </c>
      <c r="G723" s="20">
        <v>208639.2</v>
      </c>
    </row>
    <row r="724" spans="1:7" outlineLevel="1" x14ac:dyDescent="0.25">
      <c r="A724" s="18" t="s">
        <v>99</v>
      </c>
      <c r="B724" s="19" t="s">
        <v>100</v>
      </c>
      <c r="C724" s="19"/>
      <c r="D724" s="19"/>
      <c r="E724" s="20">
        <f>E725</f>
        <v>190275.20000000001</v>
      </c>
      <c r="F724" s="20">
        <f t="shared" ref="F724:G724" si="286">F725</f>
        <v>47622.600000000006</v>
      </c>
      <c r="G724" s="20">
        <f t="shared" si="286"/>
        <v>48948.6</v>
      </c>
    </row>
    <row r="725" spans="1:7" ht="31.5" outlineLevel="2" x14ac:dyDescent="0.25">
      <c r="A725" s="18" t="s">
        <v>101</v>
      </c>
      <c r="B725" s="19" t="s">
        <v>100</v>
      </c>
      <c r="C725" s="19" t="s">
        <v>102</v>
      </c>
      <c r="D725" s="19"/>
      <c r="E725" s="20">
        <f>E730+E734+E726</f>
        <v>190275.20000000001</v>
      </c>
      <c r="F725" s="20">
        <f t="shared" ref="F725:G725" si="287">F730+F734+F726</f>
        <v>47622.600000000006</v>
      </c>
      <c r="G725" s="20">
        <f t="shared" si="287"/>
        <v>48948.6</v>
      </c>
    </row>
    <row r="726" spans="1:7" outlineLevel="2" x14ac:dyDescent="0.25">
      <c r="A726" s="39" t="s">
        <v>228</v>
      </c>
      <c r="B726" s="19" t="s">
        <v>100</v>
      </c>
      <c r="C726" s="19" t="s">
        <v>551</v>
      </c>
      <c r="D726" s="19"/>
      <c r="E726" s="20">
        <f>E727</f>
        <v>127580.8</v>
      </c>
      <c r="F726" s="20">
        <f t="shared" ref="F726:G728" si="288">F727</f>
        <v>0</v>
      </c>
      <c r="G726" s="20">
        <f t="shared" si="288"/>
        <v>0</v>
      </c>
    </row>
    <row r="727" spans="1:7" ht="31.5" outlineLevel="2" x14ac:dyDescent="0.25">
      <c r="A727" s="39" t="s">
        <v>549</v>
      </c>
      <c r="B727" s="19" t="s">
        <v>100</v>
      </c>
      <c r="C727" s="19" t="s">
        <v>552</v>
      </c>
      <c r="D727" s="19"/>
      <c r="E727" s="20">
        <f t="shared" ref="E727:E728" si="289">E728</f>
        <v>127580.8</v>
      </c>
      <c r="F727" s="20">
        <f t="shared" si="288"/>
        <v>0</v>
      </c>
      <c r="G727" s="20">
        <f t="shared" si="288"/>
        <v>0</v>
      </c>
    </row>
    <row r="728" spans="1:7" ht="47.25" outlineLevel="2" x14ac:dyDescent="0.25">
      <c r="A728" s="39" t="s">
        <v>550</v>
      </c>
      <c r="B728" s="19" t="s">
        <v>100</v>
      </c>
      <c r="C728" s="19" t="s">
        <v>553</v>
      </c>
      <c r="D728" s="19"/>
      <c r="E728" s="20">
        <f t="shared" si="289"/>
        <v>127580.8</v>
      </c>
      <c r="F728" s="20">
        <f t="shared" si="288"/>
        <v>0</v>
      </c>
      <c r="G728" s="20">
        <f t="shared" si="288"/>
        <v>0</v>
      </c>
    </row>
    <row r="729" spans="1:7" ht="47.25" outlineLevel="2" x14ac:dyDescent="0.25">
      <c r="A729" s="18" t="s">
        <v>94</v>
      </c>
      <c r="B729" s="19" t="s">
        <v>100</v>
      </c>
      <c r="C729" s="19" t="s">
        <v>553</v>
      </c>
      <c r="D729" s="19" t="s">
        <v>95</v>
      </c>
      <c r="E729" s="20">
        <v>127580.8</v>
      </c>
      <c r="F729" s="20">
        <v>0</v>
      </c>
      <c r="G729" s="20">
        <v>0</v>
      </c>
    </row>
    <row r="730" spans="1:7" ht="31.5" outlineLevel="2" x14ac:dyDescent="0.25">
      <c r="A730" s="18" t="s">
        <v>155</v>
      </c>
      <c r="B730" s="19" t="s">
        <v>100</v>
      </c>
      <c r="C730" s="19" t="s">
        <v>172</v>
      </c>
      <c r="D730" s="10"/>
      <c r="E730" s="20">
        <f>E731</f>
        <v>499.2</v>
      </c>
      <c r="F730" s="20">
        <f t="shared" ref="F730:G732" si="290">F731</f>
        <v>294.39999999999998</v>
      </c>
      <c r="G730" s="20">
        <f t="shared" si="290"/>
        <v>294.39999999999998</v>
      </c>
    </row>
    <row r="731" spans="1:7" ht="31.5" outlineLevel="2" x14ac:dyDescent="0.25">
      <c r="A731" s="18" t="s">
        <v>173</v>
      </c>
      <c r="B731" s="19" t="s">
        <v>100</v>
      </c>
      <c r="C731" s="19" t="s">
        <v>174</v>
      </c>
      <c r="D731" s="10"/>
      <c r="E731" s="20">
        <f>E732</f>
        <v>499.2</v>
      </c>
      <c r="F731" s="20">
        <f t="shared" si="290"/>
        <v>294.39999999999998</v>
      </c>
      <c r="G731" s="20">
        <f t="shared" si="290"/>
        <v>294.39999999999998</v>
      </c>
    </row>
    <row r="732" spans="1:7" ht="63" outlineLevel="2" x14ac:dyDescent="0.25">
      <c r="A732" s="18" t="s">
        <v>175</v>
      </c>
      <c r="B732" s="19" t="s">
        <v>100</v>
      </c>
      <c r="C732" s="19" t="s">
        <v>487</v>
      </c>
      <c r="D732" s="10"/>
      <c r="E732" s="20">
        <f>E733</f>
        <v>499.2</v>
      </c>
      <c r="F732" s="20">
        <f t="shared" si="290"/>
        <v>294.39999999999998</v>
      </c>
      <c r="G732" s="20">
        <f t="shared" si="290"/>
        <v>294.39999999999998</v>
      </c>
    </row>
    <row r="733" spans="1:7" ht="47.25" outlineLevel="2" x14ac:dyDescent="0.25">
      <c r="A733" s="18" t="s">
        <v>94</v>
      </c>
      <c r="B733" s="19" t="s">
        <v>100</v>
      </c>
      <c r="C733" s="19" t="s">
        <v>487</v>
      </c>
      <c r="D733" s="10">
        <v>600</v>
      </c>
      <c r="E733" s="20">
        <v>499.2</v>
      </c>
      <c r="F733" s="20">
        <v>294.39999999999998</v>
      </c>
      <c r="G733" s="20">
        <v>294.39999999999998</v>
      </c>
    </row>
    <row r="734" spans="1:7" outlineLevel="2" x14ac:dyDescent="0.25">
      <c r="A734" s="18" t="s">
        <v>144</v>
      </c>
      <c r="B734" s="19" t="s">
        <v>100</v>
      </c>
      <c r="C734" s="19" t="s">
        <v>176</v>
      </c>
      <c r="D734" s="10"/>
      <c r="E734" s="20">
        <f>E735</f>
        <v>62195.199999999997</v>
      </c>
      <c r="F734" s="20">
        <f t="shared" ref="F734:G734" si="291">F735</f>
        <v>47328.200000000004</v>
      </c>
      <c r="G734" s="20">
        <f t="shared" si="291"/>
        <v>48654.2</v>
      </c>
    </row>
    <row r="735" spans="1:7" ht="78.75" outlineLevel="2" x14ac:dyDescent="0.25">
      <c r="A735" s="18" t="s">
        <v>177</v>
      </c>
      <c r="B735" s="19" t="s">
        <v>100</v>
      </c>
      <c r="C735" s="19" t="s">
        <v>178</v>
      </c>
      <c r="D735" s="10"/>
      <c r="E735" s="20">
        <f>E736+E738+E740</f>
        <v>62195.199999999997</v>
      </c>
      <c r="F735" s="20">
        <f t="shared" ref="F735:G735" si="292">F736+F738+F740</f>
        <v>47328.200000000004</v>
      </c>
      <c r="G735" s="20">
        <f t="shared" si="292"/>
        <v>48654.2</v>
      </c>
    </row>
    <row r="736" spans="1:7" ht="31.5" outlineLevel="2" x14ac:dyDescent="0.25">
      <c r="A736" s="18" t="s">
        <v>179</v>
      </c>
      <c r="B736" s="19" t="s">
        <v>100</v>
      </c>
      <c r="C736" s="19" t="s">
        <v>180</v>
      </c>
      <c r="D736" s="10"/>
      <c r="E736" s="20">
        <f>E737</f>
        <v>3714.6</v>
      </c>
      <c r="F736" s="20">
        <f t="shared" ref="F736:G736" si="293">F737</f>
        <v>3000</v>
      </c>
      <c r="G736" s="20">
        <f t="shared" si="293"/>
        <v>3000</v>
      </c>
    </row>
    <row r="737" spans="1:7" ht="31.5" outlineLevel="2" x14ac:dyDescent="0.25">
      <c r="A737" s="18" t="s">
        <v>76</v>
      </c>
      <c r="B737" s="19" t="s">
        <v>100</v>
      </c>
      <c r="C737" s="19" t="s">
        <v>180</v>
      </c>
      <c r="D737" s="10">
        <v>200</v>
      </c>
      <c r="E737" s="20">
        <f>3300+414.6</f>
        <v>3714.6</v>
      </c>
      <c r="F737" s="20">
        <v>3000</v>
      </c>
      <c r="G737" s="20">
        <v>3000</v>
      </c>
    </row>
    <row r="738" spans="1:7" ht="31.5" outlineLevel="2" x14ac:dyDescent="0.25">
      <c r="A738" s="38" t="s">
        <v>181</v>
      </c>
      <c r="B738" s="19" t="s">
        <v>100</v>
      </c>
      <c r="C738" s="19" t="s">
        <v>182</v>
      </c>
      <c r="D738" s="10"/>
      <c r="E738" s="20">
        <f>E739</f>
        <v>750</v>
      </c>
      <c r="F738" s="20">
        <f t="shared" ref="F738:G738" si="294">F739</f>
        <v>600</v>
      </c>
      <c r="G738" s="20">
        <f t="shared" si="294"/>
        <v>600</v>
      </c>
    </row>
    <row r="739" spans="1:7" ht="31.5" outlineLevel="2" x14ac:dyDescent="0.25">
      <c r="A739" s="18" t="s">
        <v>20</v>
      </c>
      <c r="B739" s="19" t="s">
        <v>100</v>
      </c>
      <c r="C739" s="19" t="s">
        <v>182</v>
      </c>
      <c r="D739" s="10">
        <v>300</v>
      </c>
      <c r="E739" s="20">
        <v>750</v>
      </c>
      <c r="F739" s="20">
        <v>600</v>
      </c>
      <c r="G739" s="20">
        <v>600</v>
      </c>
    </row>
    <row r="740" spans="1:7" ht="47.25" outlineLevel="2" x14ac:dyDescent="0.25">
      <c r="A740" s="18" t="s">
        <v>183</v>
      </c>
      <c r="B740" s="19" t="s">
        <v>100</v>
      </c>
      <c r="C740" s="19" t="s">
        <v>184</v>
      </c>
      <c r="D740" s="10"/>
      <c r="E740" s="20">
        <f>E741</f>
        <v>57730.6</v>
      </c>
      <c r="F740" s="20">
        <f t="shared" ref="F740:G740" si="295">F741</f>
        <v>43728.200000000004</v>
      </c>
      <c r="G740" s="20">
        <f t="shared" si="295"/>
        <v>45054.2</v>
      </c>
    </row>
    <row r="741" spans="1:7" ht="47.25" outlineLevel="2" x14ac:dyDescent="0.25">
      <c r="A741" s="18" t="s">
        <v>94</v>
      </c>
      <c r="B741" s="19" t="s">
        <v>100</v>
      </c>
      <c r="C741" s="19" t="s">
        <v>184</v>
      </c>
      <c r="D741" s="10">
        <v>600</v>
      </c>
      <c r="E741" s="20">
        <f>55051.5+2679.1</f>
        <v>57730.6</v>
      </c>
      <c r="F741" s="20">
        <v>43728.200000000004</v>
      </c>
      <c r="G741" s="20">
        <v>45054.2</v>
      </c>
    </row>
    <row r="742" spans="1:7" outlineLevel="1" x14ac:dyDescent="0.25">
      <c r="A742" s="21" t="s">
        <v>263</v>
      </c>
      <c r="B742" s="19" t="s">
        <v>264</v>
      </c>
      <c r="C742" s="60"/>
      <c r="D742" s="10"/>
      <c r="E742" s="20">
        <f>E743</f>
        <v>243233.59999999998</v>
      </c>
      <c r="F742" s="20">
        <f t="shared" ref="F742:G743" si="296">F743</f>
        <v>208715.89999999997</v>
      </c>
      <c r="G742" s="20">
        <f t="shared" si="296"/>
        <v>213457.4</v>
      </c>
    </row>
    <row r="743" spans="1:7" ht="31.5" outlineLevel="2" x14ac:dyDescent="0.25">
      <c r="A743" s="21" t="s">
        <v>209</v>
      </c>
      <c r="B743" s="19" t="s">
        <v>264</v>
      </c>
      <c r="C743" s="19" t="s">
        <v>210</v>
      </c>
      <c r="D743" s="10"/>
      <c r="E743" s="20">
        <f>E744</f>
        <v>243233.59999999998</v>
      </c>
      <c r="F743" s="20">
        <f t="shared" si="296"/>
        <v>208715.89999999997</v>
      </c>
      <c r="G743" s="20">
        <f t="shared" si="296"/>
        <v>213457.4</v>
      </c>
    </row>
    <row r="744" spans="1:7" outlineLevel="2" x14ac:dyDescent="0.25">
      <c r="A744" s="9" t="s">
        <v>144</v>
      </c>
      <c r="B744" s="19" t="s">
        <v>264</v>
      </c>
      <c r="C744" s="19" t="s">
        <v>216</v>
      </c>
      <c r="D744" s="10"/>
      <c r="E744" s="20">
        <f>E745+E754+E772+E779</f>
        <v>243233.59999999998</v>
      </c>
      <c r="F744" s="20">
        <f>F745+F754+F772+F779</f>
        <v>208715.89999999997</v>
      </c>
      <c r="G744" s="20">
        <f>G745+G754+G772+G779</f>
        <v>213457.4</v>
      </c>
    </row>
    <row r="745" spans="1:7" ht="63" outlineLevel="2" x14ac:dyDescent="0.25">
      <c r="A745" s="33" t="s">
        <v>495</v>
      </c>
      <c r="B745" s="19" t="s">
        <v>264</v>
      </c>
      <c r="C745" s="19" t="s">
        <v>217</v>
      </c>
      <c r="D745" s="10"/>
      <c r="E745" s="20">
        <f>E748+E751+E746</f>
        <v>16216.6</v>
      </c>
      <c r="F745" s="20">
        <f t="shared" ref="F745:G745" si="297">F748+F751+F746</f>
        <v>2431.9</v>
      </c>
      <c r="G745" s="20">
        <f t="shared" si="297"/>
        <v>2431.9</v>
      </c>
    </row>
    <row r="746" spans="1:7" ht="47.25" outlineLevel="2" x14ac:dyDescent="0.25">
      <c r="A746" s="9" t="s">
        <v>151</v>
      </c>
      <c r="B746" s="19" t="s">
        <v>264</v>
      </c>
      <c r="C746" s="19" t="s">
        <v>218</v>
      </c>
      <c r="D746" s="10"/>
      <c r="E746" s="20">
        <f>E747</f>
        <v>13855.9</v>
      </c>
      <c r="F746" s="20">
        <f t="shared" ref="F746:G746" si="298">F747</f>
        <v>0</v>
      </c>
      <c r="G746" s="20">
        <f t="shared" si="298"/>
        <v>0</v>
      </c>
    </row>
    <row r="747" spans="1:7" ht="47.25" outlineLevel="2" x14ac:dyDescent="0.25">
      <c r="A747" s="9" t="s">
        <v>94</v>
      </c>
      <c r="B747" s="19" t="s">
        <v>264</v>
      </c>
      <c r="C747" s="19" t="s">
        <v>218</v>
      </c>
      <c r="D747" s="10">
        <v>600</v>
      </c>
      <c r="E747" s="20">
        <f>13342+513.9</f>
        <v>13855.9</v>
      </c>
      <c r="F747" s="20">
        <v>0</v>
      </c>
      <c r="G747" s="20">
        <v>0</v>
      </c>
    </row>
    <row r="748" spans="1:7" ht="78.75" outlineLevel="2" x14ac:dyDescent="0.25">
      <c r="A748" s="33" t="s">
        <v>265</v>
      </c>
      <c r="B748" s="19" t="s">
        <v>264</v>
      </c>
      <c r="C748" s="19" t="s">
        <v>266</v>
      </c>
      <c r="D748" s="10"/>
      <c r="E748" s="20">
        <f>E749+E750</f>
        <v>987.7</v>
      </c>
      <c r="F748" s="20">
        <f t="shared" ref="F748:G748" si="299">F749+F750</f>
        <v>1257.1000000000001</v>
      </c>
      <c r="G748" s="20">
        <f t="shared" si="299"/>
        <v>1257.1000000000001</v>
      </c>
    </row>
    <row r="749" spans="1:7" ht="94.5" outlineLevel="2" x14ac:dyDescent="0.25">
      <c r="A749" s="21" t="s">
        <v>13</v>
      </c>
      <c r="B749" s="19" t="s">
        <v>264</v>
      </c>
      <c r="C749" s="19" t="s">
        <v>266</v>
      </c>
      <c r="D749" s="10">
        <v>100</v>
      </c>
      <c r="E749" s="20">
        <v>795.00000000000011</v>
      </c>
      <c r="F749" s="20">
        <v>795.00000000000011</v>
      </c>
      <c r="G749" s="20">
        <v>795.00000000000011</v>
      </c>
    </row>
    <row r="750" spans="1:7" ht="31.5" outlineLevel="2" x14ac:dyDescent="0.25">
      <c r="A750" s="21" t="s">
        <v>76</v>
      </c>
      <c r="B750" s="19" t="s">
        <v>264</v>
      </c>
      <c r="C750" s="19" t="s">
        <v>266</v>
      </c>
      <c r="D750" s="10">
        <v>200</v>
      </c>
      <c r="E750" s="20">
        <v>192.7</v>
      </c>
      <c r="F750" s="20">
        <v>462.1</v>
      </c>
      <c r="G750" s="20">
        <v>462.1</v>
      </c>
    </row>
    <row r="751" spans="1:7" ht="157.5" outlineLevel="2" x14ac:dyDescent="0.25">
      <c r="A751" s="33" t="s">
        <v>244</v>
      </c>
      <c r="B751" s="19" t="s">
        <v>264</v>
      </c>
      <c r="C751" s="19" t="s">
        <v>245</v>
      </c>
      <c r="D751" s="10"/>
      <c r="E751" s="20">
        <f>E752+E753</f>
        <v>1373.0000000000002</v>
      </c>
      <c r="F751" s="20">
        <f t="shared" ref="F751:G751" si="300">F752+F753</f>
        <v>1174.8</v>
      </c>
      <c r="G751" s="20">
        <f t="shared" si="300"/>
        <v>1174.8</v>
      </c>
    </row>
    <row r="752" spans="1:7" ht="94.5" outlineLevel="2" x14ac:dyDescent="0.25">
      <c r="A752" s="21" t="s">
        <v>13</v>
      </c>
      <c r="B752" s="19" t="s">
        <v>264</v>
      </c>
      <c r="C752" s="19" t="s">
        <v>245</v>
      </c>
      <c r="D752" s="10">
        <v>100</v>
      </c>
      <c r="E752" s="20">
        <v>1174.8000000000002</v>
      </c>
      <c r="F752" s="20">
        <v>1174.8</v>
      </c>
      <c r="G752" s="20">
        <v>1174.8</v>
      </c>
    </row>
    <row r="753" spans="1:7" ht="31.5" outlineLevel="2" x14ac:dyDescent="0.25">
      <c r="A753" s="21" t="s">
        <v>76</v>
      </c>
      <c r="B753" s="19" t="s">
        <v>264</v>
      </c>
      <c r="C753" s="19" t="s">
        <v>245</v>
      </c>
      <c r="D753" s="10">
        <v>200</v>
      </c>
      <c r="E753" s="20">
        <v>198.2</v>
      </c>
      <c r="F753" s="20">
        <v>0</v>
      </c>
      <c r="G753" s="20">
        <v>0</v>
      </c>
    </row>
    <row r="754" spans="1:7" ht="47.25" outlineLevel="2" x14ac:dyDescent="0.25">
      <c r="A754" s="33" t="s">
        <v>496</v>
      </c>
      <c r="B754" s="19" t="s">
        <v>264</v>
      </c>
      <c r="C754" s="24" t="s">
        <v>269</v>
      </c>
      <c r="D754" s="10"/>
      <c r="E754" s="20">
        <f>E760+E762+E764+E767+E769+E755+E758</f>
        <v>17720</v>
      </c>
      <c r="F754" s="20">
        <f t="shared" ref="F754:G754" si="301">F760+F762+F764+F767+F769+F755+F758</f>
        <v>8315.6000000000022</v>
      </c>
      <c r="G754" s="20">
        <f t="shared" si="301"/>
        <v>8317.2000000000007</v>
      </c>
    </row>
    <row r="755" spans="1:7" ht="110.25" outlineLevel="2" x14ac:dyDescent="0.25">
      <c r="A755" s="33" t="s">
        <v>793</v>
      </c>
      <c r="B755" s="19" t="s">
        <v>264</v>
      </c>
      <c r="C755" s="19" t="s">
        <v>795</v>
      </c>
      <c r="D755" s="19"/>
      <c r="E755" s="20">
        <f>+E756+E757</f>
        <v>1533</v>
      </c>
      <c r="F755" s="20">
        <f t="shared" ref="F755:G755" si="302">+F756+F757</f>
        <v>0</v>
      </c>
      <c r="G755" s="20">
        <f t="shared" si="302"/>
        <v>0</v>
      </c>
    </row>
    <row r="756" spans="1:7" ht="31.5" outlineLevel="2" x14ac:dyDescent="0.25">
      <c r="A756" s="21" t="s">
        <v>76</v>
      </c>
      <c r="B756" s="19" t="s">
        <v>264</v>
      </c>
      <c r="C756" s="19" t="s">
        <v>795</v>
      </c>
      <c r="D756" s="19" t="s">
        <v>39</v>
      </c>
      <c r="E756" s="20">
        <v>10</v>
      </c>
      <c r="F756" s="20">
        <v>0</v>
      </c>
      <c r="G756" s="20">
        <v>0</v>
      </c>
    </row>
    <row r="757" spans="1:7" ht="31.5" outlineLevel="2" x14ac:dyDescent="0.25">
      <c r="A757" s="21" t="s">
        <v>20</v>
      </c>
      <c r="B757" s="19" t="s">
        <v>264</v>
      </c>
      <c r="C757" s="19" t="s">
        <v>795</v>
      </c>
      <c r="D757" s="19" t="s">
        <v>558</v>
      </c>
      <c r="E757" s="20">
        <v>1523</v>
      </c>
      <c r="F757" s="20">
        <v>0</v>
      </c>
      <c r="G757" s="20">
        <v>0</v>
      </c>
    </row>
    <row r="758" spans="1:7" ht="78.75" outlineLevel="2" x14ac:dyDescent="0.25">
      <c r="A758" s="21" t="s">
        <v>794</v>
      </c>
      <c r="B758" s="19" t="s">
        <v>264</v>
      </c>
      <c r="C758" s="19" t="s">
        <v>796</v>
      </c>
      <c r="D758" s="19"/>
      <c r="E758" s="20">
        <f>+E759</f>
        <v>404</v>
      </c>
      <c r="F758" s="20">
        <f t="shared" ref="F758:G758" si="303">+F759</f>
        <v>0</v>
      </c>
      <c r="G758" s="20">
        <f t="shared" si="303"/>
        <v>0</v>
      </c>
    </row>
    <row r="759" spans="1:7" ht="47.25" outlineLevel="2" x14ac:dyDescent="0.25">
      <c r="A759" s="21" t="s">
        <v>94</v>
      </c>
      <c r="B759" s="19" t="s">
        <v>264</v>
      </c>
      <c r="C759" s="19" t="s">
        <v>796</v>
      </c>
      <c r="D759" s="19" t="s">
        <v>95</v>
      </c>
      <c r="E759" s="20">
        <v>404</v>
      </c>
      <c r="F759" s="20">
        <v>0</v>
      </c>
      <c r="G759" s="20">
        <v>0</v>
      </c>
    </row>
    <row r="760" spans="1:7" ht="63" outlineLevel="2" x14ac:dyDescent="0.25">
      <c r="A760" s="33" t="s">
        <v>270</v>
      </c>
      <c r="B760" s="19" t="s">
        <v>264</v>
      </c>
      <c r="C760" s="19" t="s">
        <v>271</v>
      </c>
      <c r="D760" s="10"/>
      <c r="E760" s="20">
        <f>E761</f>
        <v>63.3</v>
      </c>
      <c r="F760" s="20">
        <f t="shared" ref="F760:G760" si="304">F761</f>
        <v>64.2</v>
      </c>
      <c r="G760" s="20">
        <f t="shared" si="304"/>
        <v>64.2</v>
      </c>
    </row>
    <row r="761" spans="1:7" ht="31.5" outlineLevel="2" x14ac:dyDescent="0.25">
      <c r="A761" s="21" t="s">
        <v>76</v>
      </c>
      <c r="B761" s="19" t="s">
        <v>264</v>
      </c>
      <c r="C761" s="19" t="s">
        <v>271</v>
      </c>
      <c r="D761" s="10">
        <v>200</v>
      </c>
      <c r="E761" s="20">
        <v>63.3</v>
      </c>
      <c r="F761" s="20">
        <v>64.2</v>
      </c>
      <c r="G761" s="20">
        <v>64.2</v>
      </c>
    </row>
    <row r="762" spans="1:7" ht="110.25" outlineLevel="2" x14ac:dyDescent="0.25">
      <c r="A762" s="33" t="s">
        <v>272</v>
      </c>
      <c r="B762" s="19" t="s">
        <v>264</v>
      </c>
      <c r="C762" s="19" t="s">
        <v>273</v>
      </c>
      <c r="D762" s="10"/>
      <c r="E762" s="20">
        <f>E763</f>
        <v>2.2999999999999998</v>
      </c>
      <c r="F762" s="20">
        <f t="shared" ref="F762:G762" si="305">F763</f>
        <v>2.2999999999999998</v>
      </c>
      <c r="G762" s="20">
        <f t="shared" si="305"/>
        <v>2.2999999999999998</v>
      </c>
    </row>
    <row r="763" spans="1:7" ht="31.5" outlineLevel="2" x14ac:dyDescent="0.25">
      <c r="A763" s="21" t="s">
        <v>76</v>
      </c>
      <c r="B763" s="19" t="s">
        <v>264</v>
      </c>
      <c r="C763" s="19" t="s">
        <v>273</v>
      </c>
      <c r="D763" s="10">
        <v>200</v>
      </c>
      <c r="E763" s="20">
        <v>2.2999999999999998</v>
      </c>
      <c r="F763" s="20">
        <v>2.2999999999999998</v>
      </c>
      <c r="G763" s="20">
        <v>2.2999999999999998</v>
      </c>
    </row>
    <row r="764" spans="1:7" ht="94.5" outlineLevel="2" x14ac:dyDescent="0.25">
      <c r="A764" s="33" t="s">
        <v>274</v>
      </c>
      <c r="B764" s="19" t="s">
        <v>264</v>
      </c>
      <c r="C764" s="19" t="s">
        <v>275</v>
      </c>
      <c r="D764" s="25"/>
      <c r="E764" s="20">
        <f>E766+E765</f>
        <v>800.3</v>
      </c>
      <c r="F764" s="20">
        <f t="shared" ref="F764:G764" si="306">F766+F765</f>
        <v>800.3</v>
      </c>
      <c r="G764" s="20">
        <f t="shared" si="306"/>
        <v>800.3</v>
      </c>
    </row>
    <row r="765" spans="1:7" ht="94.5" outlineLevel="2" x14ac:dyDescent="0.25">
      <c r="A765" s="54" t="s">
        <v>13</v>
      </c>
      <c r="B765" s="19" t="s">
        <v>264</v>
      </c>
      <c r="C765" s="19" t="s">
        <v>275</v>
      </c>
      <c r="D765" s="25">
        <v>100</v>
      </c>
      <c r="E765" s="20">
        <v>88.5</v>
      </c>
      <c r="F765" s="20">
        <v>0</v>
      </c>
      <c r="G765" s="20">
        <v>0</v>
      </c>
    </row>
    <row r="766" spans="1:7" ht="31.5" outlineLevel="2" x14ac:dyDescent="0.25">
      <c r="A766" s="21" t="s">
        <v>76</v>
      </c>
      <c r="B766" s="19" t="s">
        <v>264</v>
      </c>
      <c r="C766" s="19" t="s">
        <v>275</v>
      </c>
      <c r="D766" s="25">
        <v>200</v>
      </c>
      <c r="E766" s="20">
        <v>711.8</v>
      </c>
      <c r="F766" s="20">
        <v>800.3</v>
      </c>
      <c r="G766" s="20">
        <v>800.3</v>
      </c>
    </row>
    <row r="767" spans="1:7" ht="31.5" outlineLevel="2" x14ac:dyDescent="0.25">
      <c r="A767" s="9" t="s">
        <v>276</v>
      </c>
      <c r="B767" s="19" t="s">
        <v>264</v>
      </c>
      <c r="C767" s="19" t="s">
        <v>277</v>
      </c>
      <c r="D767" s="10"/>
      <c r="E767" s="20">
        <f>E768</f>
        <v>2000</v>
      </c>
      <c r="F767" s="20">
        <f t="shared" ref="F767:G767" si="307">F768</f>
        <v>2000</v>
      </c>
      <c r="G767" s="20">
        <f t="shared" si="307"/>
        <v>2000</v>
      </c>
    </row>
    <row r="768" spans="1:7" ht="47.25" outlineLevel="2" x14ac:dyDescent="0.25">
      <c r="A768" s="21" t="s">
        <v>94</v>
      </c>
      <c r="B768" s="19" t="s">
        <v>264</v>
      </c>
      <c r="C768" s="19" t="s">
        <v>277</v>
      </c>
      <c r="D768" s="10">
        <v>600</v>
      </c>
      <c r="E768" s="20">
        <v>2000</v>
      </c>
      <c r="F768" s="20">
        <v>2000</v>
      </c>
      <c r="G768" s="20">
        <v>2000</v>
      </c>
    </row>
    <row r="769" spans="1:7" ht="47.25" outlineLevel="2" x14ac:dyDescent="0.25">
      <c r="A769" s="33" t="s">
        <v>278</v>
      </c>
      <c r="B769" s="19" t="s">
        <v>264</v>
      </c>
      <c r="C769" s="60" t="s">
        <v>279</v>
      </c>
      <c r="D769" s="10"/>
      <c r="E769" s="20">
        <f>E770+E771</f>
        <v>12917.099999999999</v>
      </c>
      <c r="F769" s="20">
        <f t="shared" ref="F769:G769" si="308">F770+F771</f>
        <v>5448.8000000000011</v>
      </c>
      <c r="G769" s="20">
        <f t="shared" si="308"/>
        <v>5450.4</v>
      </c>
    </row>
    <row r="770" spans="1:7" ht="31.5" outlineLevel="2" x14ac:dyDescent="0.25">
      <c r="A770" s="21" t="s">
        <v>76</v>
      </c>
      <c r="B770" s="19" t="s">
        <v>264</v>
      </c>
      <c r="C770" s="60" t="s">
        <v>279</v>
      </c>
      <c r="D770" s="10">
        <v>200</v>
      </c>
      <c r="E770" s="20">
        <v>50.5</v>
      </c>
      <c r="F770" s="20">
        <v>50.5</v>
      </c>
      <c r="G770" s="20">
        <v>50.5</v>
      </c>
    </row>
    <row r="771" spans="1:7" ht="31.5" outlineLevel="2" x14ac:dyDescent="0.25">
      <c r="A771" s="21" t="s">
        <v>20</v>
      </c>
      <c r="B771" s="19" t="s">
        <v>264</v>
      </c>
      <c r="C771" s="60" t="s">
        <v>279</v>
      </c>
      <c r="D771" s="10">
        <v>300</v>
      </c>
      <c r="E771" s="20">
        <v>12866.599999999999</v>
      </c>
      <c r="F771" s="20">
        <v>5398.3000000000011</v>
      </c>
      <c r="G771" s="20">
        <v>5399.9</v>
      </c>
    </row>
    <row r="772" spans="1:7" ht="63" outlineLevel="2" x14ac:dyDescent="0.25">
      <c r="A772" s="33" t="s">
        <v>489</v>
      </c>
      <c r="B772" s="19" t="s">
        <v>264</v>
      </c>
      <c r="C772" s="24" t="s">
        <v>223</v>
      </c>
      <c r="D772" s="10"/>
      <c r="E772" s="20">
        <f>E773+E775+E777</f>
        <v>9561.2000000000007</v>
      </c>
      <c r="F772" s="20">
        <f t="shared" ref="F772:G772" si="309">F773+F775+F777</f>
        <v>3387.8</v>
      </c>
      <c r="G772" s="20">
        <f t="shared" si="309"/>
        <v>3387.8</v>
      </c>
    </row>
    <row r="773" spans="1:7" ht="31.5" outlineLevel="2" x14ac:dyDescent="0.25">
      <c r="A773" s="46" t="s">
        <v>250</v>
      </c>
      <c r="B773" s="19" t="s">
        <v>264</v>
      </c>
      <c r="C773" s="60" t="s">
        <v>251</v>
      </c>
      <c r="D773" s="10"/>
      <c r="E773" s="20">
        <f>E774</f>
        <v>1839</v>
      </c>
      <c r="F773" s="20">
        <f t="shared" ref="F773:G773" si="310">F774</f>
        <v>1447</v>
      </c>
      <c r="G773" s="20">
        <f t="shared" si="310"/>
        <v>1447</v>
      </c>
    </row>
    <row r="774" spans="1:7" ht="47.25" outlineLevel="2" x14ac:dyDescent="0.25">
      <c r="A774" s="21" t="s">
        <v>94</v>
      </c>
      <c r="B774" s="19" t="s">
        <v>264</v>
      </c>
      <c r="C774" s="60" t="s">
        <v>251</v>
      </c>
      <c r="D774" s="10">
        <v>600</v>
      </c>
      <c r="E774" s="20">
        <v>1839</v>
      </c>
      <c r="F774" s="20">
        <v>1447</v>
      </c>
      <c r="G774" s="20">
        <v>1447</v>
      </c>
    </row>
    <row r="775" spans="1:7" ht="31.5" outlineLevel="2" x14ac:dyDescent="0.25">
      <c r="A775" s="33" t="s">
        <v>280</v>
      </c>
      <c r="B775" s="19" t="s">
        <v>264</v>
      </c>
      <c r="C775" s="60" t="s">
        <v>281</v>
      </c>
      <c r="D775" s="25"/>
      <c r="E775" s="20">
        <f>E776</f>
        <v>5722.2000000000007</v>
      </c>
      <c r="F775" s="20">
        <f t="shared" ref="F775:G775" si="311">F776</f>
        <v>1940.8</v>
      </c>
      <c r="G775" s="20">
        <f t="shared" si="311"/>
        <v>1940.8</v>
      </c>
    </row>
    <row r="776" spans="1:7" ht="47.25" outlineLevel="2" x14ac:dyDescent="0.25">
      <c r="A776" s="21" t="s">
        <v>94</v>
      </c>
      <c r="B776" s="19" t="s">
        <v>264</v>
      </c>
      <c r="C776" s="60" t="s">
        <v>281</v>
      </c>
      <c r="D776" s="25">
        <v>600</v>
      </c>
      <c r="E776" s="20">
        <f>5747.6-25.4</f>
        <v>5722.2000000000007</v>
      </c>
      <c r="F776" s="20">
        <v>1940.8</v>
      </c>
      <c r="G776" s="20">
        <v>1940.8</v>
      </c>
    </row>
    <row r="777" spans="1:7" ht="94.5" outlineLevel="2" x14ac:dyDescent="0.25">
      <c r="A777" s="54" t="s">
        <v>623</v>
      </c>
      <c r="B777" s="19" t="s">
        <v>264</v>
      </c>
      <c r="C777" s="19" t="s">
        <v>624</v>
      </c>
      <c r="D777" s="19"/>
      <c r="E777" s="20">
        <f>E778</f>
        <v>2000</v>
      </c>
      <c r="F777" s="20">
        <f t="shared" ref="F777:G777" si="312">F778</f>
        <v>0</v>
      </c>
      <c r="G777" s="20">
        <f t="shared" si="312"/>
        <v>0</v>
      </c>
    </row>
    <row r="778" spans="1:7" ht="47.25" outlineLevel="2" x14ac:dyDescent="0.25">
      <c r="A778" s="21" t="s">
        <v>94</v>
      </c>
      <c r="B778" s="19" t="s">
        <v>264</v>
      </c>
      <c r="C778" s="19" t="s">
        <v>624</v>
      </c>
      <c r="D778" s="19" t="s">
        <v>95</v>
      </c>
      <c r="E778" s="20">
        <v>2000</v>
      </c>
      <c r="F778" s="20">
        <v>0</v>
      </c>
      <c r="G778" s="20">
        <v>0</v>
      </c>
    </row>
    <row r="779" spans="1:7" ht="47.25" outlineLevel="2" x14ac:dyDescent="0.25">
      <c r="A779" s="33" t="s">
        <v>497</v>
      </c>
      <c r="B779" s="19" t="s">
        <v>264</v>
      </c>
      <c r="C779" s="24" t="s">
        <v>282</v>
      </c>
      <c r="D779" s="10"/>
      <c r="E779" s="20">
        <f>E780+E784+E790+E786</f>
        <v>199735.8</v>
      </c>
      <c r="F779" s="20">
        <f t="shared" ref="F779:G779" si="313">F780+F784+F790+F786</f>
        <v>194580.59999999998</v>
      </c>
      <c r="G779" s="20">
        <f t="shared" si="313"/>
        <v>199320.5</v>
      </c>
    </row>
    <row r="780" spans="1:7" ht="47.25" outlineLevel="2" x14ac:dyDescent="0.25">
      <c r="A780" s="33" t="s">
        <v>159</v>
      </c>
      <c r="B780" s="19" t="s">
        <v>264</v>
      </c>
      <c r="C780" s="60" t="s">
        <v>283</v>
      </c>
      <c r="D780" s="10"/>
      <c r="E780" s="20">
        <f>E781+E782+E783</f>
        <v>59059.399999999994</v>
      </c>
      <c r="F780" s="20">
        <f t="shared" ref="F780:G780" si="314">F781+F782</f>
        <v>53253.3</v>
      </c>
      <c r="G780" s="20">
        <f t="shared" si="314"/>
        <v>53253.3</v>
      </c>
    </row>
    <row r="781" spans="1:7" ht="94.5" outlineLevel="2" x14ac:dyDescent="0.25">
      <c r="A781" s="21" t="s">
        <v>13</v>
      </c>
      <c r="B781" s="19" t="s">
        <v>264</v>
      </c>
      <c r="C781" s="60" t="s">
        <v>283</v>
      </c>
      <c r="D781" s="10">
        <v>100</v>
      </c>
      <c r="E781" s="20">
        <f>54659.1+2413.1+180.2</f>
        <v>57252.399999999994</v>
      </c>
      <c r="F781" s="20">
        <v>51699.3</v>
      </c>
      <c r="G781" s="20">
        <v>51699.3</v>
      </c>
    </row>
    <row r="782" spans="1:7" ht="31.5" outlineLevel="2" x14ac:dyDescent="0.25">
      <c r="A782" s="21" t="s">
        <v>76</v>
      </c>
      <c r="B782" s="19" t="s">
        <v>264</v>
      </c>
      <c r="C782" s="60" t="s">
        <v>283</v>
      </c>
      <c r="D782" s="10">
        <v>200</v>
      </c>
      <c r="E782" s="20">
        <f>1154+53+53</f>
        <v>1260</v>
      </c>
      <c r="F782" s="20">
        <v>1554</v>
      </c>
      <c r="G782" s="20">
        <v>1554</v>
      </c>
    </row>
    <row r="783" spans="1:7" ht="31.5" outlineLevel="2" x14ac:dyDescent="0.25">
      <c r="A783" s="18" t="s">
        <v>20</v>
      </c>
      <c r="B783" s="19" t="s">
        <v>264</v>
      </c>
      <c r="C783" s="19" t="s">
        <v>283</v>
      </c>
      <c r="D783" s="19" t="s">
        <v>558</v>
      </c>
      <c r="E783" s="20">
        <v>547</v>
      </c>
      <c r="F783" s="20">
        <v>0</v>
      </c>
      <c r="G783" s="20">
        <v>0</v>
      </c>
    </row>
    <row r="784" spans="1:7" ht="38.25" customHeight="1" outlineLevel="2" x14ac:dyDescent="0.25">
      <c r="A784" s="9" t="s">
        <v>151</v>
      </c>
      <c r="B784" s="19" t="s">
        <v>264</v>
      </c>
      <c r="C784" s="60" t="s">
        <v>284</v>
      </c>
      <c r="D784" s="10"/>
      <c r="E784" s="20">
        <f>E785</f>
        <v>10396.200000000001</v>
      </c>
      <c r="F784" s="20">
        <f t="shared" ref="F784:G784" si="315">F785</f>
        <v>10610.7</v>
      </c>
      <c r="G784" s="20">
        <f t="shared" si="315"/>
        <v>11024.5</v>
      </c>
    </row>
    <row r="785" spans="1:7" ht="47.25" outlineLevel="2" x14ac:dyDescent="0.25">
      <c r="A785" s="21" t="s">
        <v>94</v>
      </c>
      <c r="B785" s="19" t="s">
        <v>264</v>
      </c>
      <c r="C785" s="60" t="s">
        <v>284</v>
      </c>
      <c r="D785" s="10">
        <v>600</v>
      </c>
      <c r="E785" s="20">
        <f>10321.2+75</f>
        <v>10396.200000000001</v>
      </c>
      <c r="F785" s="20">
        <v>10610.7</v>
      </c>
      <c r="G785" s="20">
        <v>11024.5</v>
      </c>
    </row>
    <row r="786" spans="1:7" ht="47.25" outlineLevel="2" x14ac:dyDescent="0.25">
      <c r="A786" s="21" t="s">
        <v>285</v>
      </c>
      <c r="B786" s="19" t="s">
        <v>264</v>
      </c>
      <c r="C786" s="60" t="s">
        <v>286</v>
      </c>
      <c r="D786" s="10"/>
      <c r="E786" s="20">
        <f>E787+E788+E789</f>
        <v>110362.9</v>
      </c>
      <c r="F786" s="20">
        <f t="shared" ref="F786:G786" si="316">F787+F788+F789</f>
        <v>110799.29999999999</v>
      </c>
      <c r="G786" s="20">
        <f t="shared" si="316"/>
        <v>115125.4</v>
      </c>
    </row>
    <row r="787" spans="1:7" ht="94.5" outlineLevel="2" x14ac:dyDescent="0.25">
      <c r="A787" s="21" t="s">
        <v>13</v>
      </c>
      <c r="B787" s="19" t="s">
        <v>264</v>
      </c>
      <c r="C787" s="60" t="s">
        <v>286</v>
      </c>
      <c r="D787" s="10">
        <v>100</v>
      </c>
      <c r="E787" s="20">
        <f>103943+1448.7+4.9</f>
        <v>105396.59999999999</v>
      </c>
      <c r="F787" s="20">
        <v>108152.7</v>
      </c>
      <c r="G787" s="20">
        <v>112478.8</v>
      </c>
    </row>
    <row r="788" spans="1:7" ht="31.5" outlineLevel="2" x14ac:dyDescent="0.25">
      <c r="A788" s="21" t="s">
        <v>76</v>
      </c>
      <c r="B788" s="19" t="s">
        <v>264</v>
      </c>
      <c r="C788" s="60" t="s">
        <v>286</v>
      </c>
      <c r="D788" s="10">
        <v>200</v>
      </c>
      <c r="E788" s="20">
        <f>4674.3+53+237.3</f>
        <v>4964.6000000000004</v>
      </c>
      <c r="F788" s="20">
        <v>2644.9</v>
      </c>
      <c r="G788" s="20">
        <v>2644.9</v>
      </c>
    </row>
    <row r="789" spans="1:7" outlineLevel="2" x14ac:dyDescent="0.25">
      <c r="A789" s="9" t="s">
        <v>33</v>
      </c>
      <c r="B789" s="19" t="s">
        <v>264</v>
      </c>
      <c r="C789" s="60" t="s">
        <v>286</v>
      </c>
      <c r="D789" s="10">
        <v>800</v>
      </c>
      <c r="E789" s="20">
        <v>1.7</v>
      </c>
      <c r="F789" s="20">
        <v>1.7</v>
      </c>
      <c r="G789" s="20">
        <v>1.7</v>
      </c>
    </row>
    <row r="790" spans="1:7" ht="63" outlineLevel="2" x14ac:dyDescent="0.25">
      <c r="A790" s="33" t="s">
        <v>287</v>
      </c>
      <c r="B790" s="19" t="s">
        <v>264</v>
      </c>
      <c r="C790" s="24" t="s">
        <v>288</v>
      </c>
      <c r="D790" s="10"/>
      <c r="E790" s="20">
        <f>E791+E792</f>
        <v>19917.3</v>
      </c>
      <c r="F790" s="20">
        <f t="shared" ref="F790:G790" si="317">F791+F792</f>
        <v>19917.3</v>
      </c>
      <c r="G790" s="20">
        <f t="shared" si="317"/>
        <v>19917.3</v>
      </c>
    </row>
    <row r="791" spans="1:7" ht="94.5" outlineLevel="2" x14ac:dyDescent="0.25">
      <c r="A791" s="21" t="s">
        <v>13</v>
      </c>
      <c r="B791" s="19" t="s">
        <v>264</v>
      </c>
      <c r="C791" s="24" t="s">
        <v>288</v>
      </c>
      <c r="D791" s="25">
        <v>100</v>
      </c>
      <c r="E791" s="20">
        <v>19517.3</v>
      </c>
      <c r="F791" s="20">
        <v>19517.3</v>
      </c>
      <c r="G791" s="20">
        <v>19517.3</v>
      </c>
    </row>
    <row r="792" spans="1:7" ht="31.5" outlineLevel="2" x14ac:dyDescent="0.25">
      <c r="A792" s="21" t="s">
        <v>76</v>
      </c>
      <c r="B792" s="19" t="s">
        <v>264</v>
      </c>
      <c r="C792" s="24" t="s">
        <v>288</v>
      </c>
      <c r="D792" s="25">
        <v>200</v>
      </c>
      <c r="E792" s="20">
        <v>400</v>
      </c>
      <c r="F792" s="20">
        <v>400</v>
      </c>
      <c r="G792" s="20">
        <v>400</v>
      </c>
    </row>
    <row r="793" spans="1:7" x14ac:dyDescent="0.25">
      <c r="A793" s="14" t="s">
        <v>103</v>
      </c>
      <c r="B793" s="61" t="s">
        <v>104</v>
      </c>
      <c r="C793" s="61"/>
      <c r="D793" s="37"/>
      <c r="E793" s="17">
        <f>E794+E815</f>
        <v>491597.19999999995</v>
      </c>
      <c r="F793" s="62">
        <f>F794+F815</f>
        <v>404647</v>
      </c>
      <c r="G793" s="62">
        <f>G794+G815</f>
        <v>423068</v>
      </c>
    </row>
    <row r="794" spans="1:7" outlineLevel="1" x14ac:dyDescent="0.25">
      <c r="A794" s="21" t="s">
        <v>105</v>
      </c>
      <c r="B794" s="31" t="s">
        <v>106</v>
      </c>
      <c r="C794" s="31"/>
      <c r="D794" s="2"/>
      <c r="E794" s="20">
        <f>E795</f>
        <v>398247.59999999992</v>
      </c>
      <c r="F794" s="20">
        <f t="shared" ref="F794:G813" si="318">F795</f>
        <v>312470.7</v>
      </c>
      <c r="G794" s="20">
        <f t="shared" si="318"/>
        <v>330195.3</v>
      </c>
    </row>
    <row r="795" spans="1:7" ht="31.5" outlineLevel="2" x14ac:dyDescent="0.25">
      <c r="A795" s="21" t="s">
        <v>153</v>
      </c>
      <c r="B795" s="31" t="s">
        <v>106</v>
      </c>
      <c r="C795" s="31" t="s">
        <v>96</v>
      </c>
      <c r="D795" s="31"/>
      <c r="E795" s="20">
        <f>E811+E796+E800</f>
        <v>398247.59999999992</v>
      </c>
      <c r="F795" s="20">
        <f t="shared" ref="F795:G795" si="319">F811+F796+F800</f>
        <v>312470.7</v>
      </c>
      <c r="G795" s="20">
        <f t="shared" si="319"/>
        <v>330195.3</v>
      </c>
    </row>
    <row r="796" spans="1:7" outlineLevel="2" x14ac:dyDescent="0.25">
      <c r="A796" s="39" t="s">
        <v>228</v>
      </c>
      <c r="B796" s="19" t="s">
        <v>106</v>
      </c>
      <c r="C796" s="19" t="s">
        <v>546</v>
      </c>
      <c r="D796" s="19"/>
      <c r="E796" s="20">
        <f>E797</f>
        <v>8510.6</v>
      </c>
      <c r="F796" s="20">
        <f t="shared" ref="F796:G798" si="320">F797</f>
        <v>0</v>
      </c>
      <c r="G796" s="20">
        <f t="shared" si="320"/>
        <v>0</v>
      </c>
    </row>
    <row r="797" spans="1:7" ht="31.5" outlineLevel="2" x14ac:dyDescent="0.25">
      <c r="A797" s="39" t="s">
        <v>544</v>
      </c>
      <c r="B797" s="19" t="s">
        <v>106</v>
      </c>
      <c r="C797" s="19" t="s">
        <v>547</v>
      </c>
      <c r="D797" s="19"/>
      <c r="E797" s="20">
        <f t="shared" ref="E797:E798" si="321">E798</f>
        <v>8510.6</v>
      </c>
      <c r="F797" s="20">
        <f t="shared" si="320"/>
        <v>0</v>
      </c>
      <c r="G797" s="20">
        <f t="shared" si="320"/>
        <v>0</v>
      </c>
    </row>
    <row r="798" spans="1:7" ht="31.5" outlineLevel="2" x14ac:dyDescent="0.25">
      <c r="A798" s="39" t="s">
        <v>545</v>
      </c>
      <c r="B798" s="19" t="s">
        <v>106</v>
      </c>
      <c r="C798" s="19" t="s">
        <v>548</v>
      </c>
      <c r="D798" s="19"/>
      <c r="E798" s="20">
        <f t="shared" si="321"/>
        <v>8510.6</v>
      </c>
      <c r="F798" s="20">
        <f t="shared" si="320"/>
        <v>0</v>
      </c>
      <c r="G798" s="20">
        <f t="shared" si="320"/>
        <v>0</v>
      </c>
    </row>
    <row r="799" spans="1:7" ht="47.25" outlineLevel="2" x14ac:dyDescent="0.25">
      <c r="A799" s="21" t="s">
        <v>94</v>
      </c>
      <c r="B799" s="19" t="s">
        <v>106</v>
      </c>
      <c r="C799" s="19" t="s">
        <v>548</v>
      </c>
      <c r="D799" s="19" t="s">
        <v>95</v>
      </c>
      <c r="E799" s="20">
        <v>8510.6</v>
      </c>
      <c r="F799" s="20">
        <v>0</v>
      </c>
      <c r="G799" s="20">
        <v>0</v>
      </c>
    </row>
    <row r="800" spans="1:7" ht="31.5" outlineLevel="2" x14ac:dyDescent="0.25">
      <c r="A800" s="21" t="s">
        <v>155</v>
      </c>
      <c r="B800" s="19" t="s">
        <v>106</v>
      </c>
      <c r="C800" s="19" t="s">
        <v>97</v>
      </c>
      <c r="D800" s="19"/>
      <c r="E800" s="20">
        <f>E801+E807</f>
        <v>12122</v>
      </c>
      <c r="F800" s="20">
        <f t="shared" ref="F800:G800" si="322">F801+F807</f>
        <v>20348.8</v>
      </c>
      <c r="G800" s="20">
        <f t="shared" si="322"/>
        <v>0</v>
      </c>
    </row>
    <row r="801" spans="1:7" ht="47.25" outlineLevel="2" x14ac:dyDescent="0.25">
      <c r="A801" s="33" t="s">
        <v>560</v>
      </c>
      <c r="B801" s="19" t="s">
        <v>106</v>
      </c>
      <c r="C801" s="19" t="s">
        <v>564</v>
      </c>
      <c r="D801" s="19"/>
      <c r="E801" s="20">
        <f>E802</f>
        <v>3401.1</v>
      </c>
      <c r="F801" s="20">
        <f t="shared" ref="F801:G801" si="323">F802</f>
        <v>0</v>
      </c>
      <c r="G801" s="20">
        <f t="shared" si="323"/>
        <v>0</v>
      </c>
    </row>
    <row r="802" spans="1:7" ht="47.25" outlineLevel="2" x14ac:dyDescent="0.25">
      <c r="A802" s="21" t="s">
        <v>561</v>
      </c>
      <c r="B802" s="19" t="s">
        <v>106</v>
      </c>
      <c r="C802" s="19" t="s">
        <v>565</v>
      </c>
      <c r="D802" s="19"/>
      <c r="E802" s="20">
        <f>E803+E805</f>
        <v>3401.1</v>
      </c>
      <c r="F802" s="20">
        <f t="shared" ref="F802:G802" si="324">F803+F805</f>
        <v>0</v>
      </c>
      <c r="G802" s="20">
        <f t="shared" si="324"/>
        <v>0</v>
      </c>
    </row>
    <row r="803" spans="1:7" ht="94.5" outlineLevel="2" x14ac:dyDescent="0.25">
      <c r="A803" s="21" t="s">
        <v>562</v>
      </c>
      <c r="B803" s="19" t="s">
        <v>106</v>
      </c>
      <c r="C803" s="19" t="s">
        <v>566</v>
      </c>
      <c r="D803" s="19"/>
      <c r="E803" s="20">
        <f>E804</f>
        <v>1048</v>
      </c>
      <c r="F803" s="20">
        <f t="shared" ref="F803:G803" si="325">F804</f>
        <v>0</v>
      </c>
      <c r="G803" s="20">
        <f t="shared" si="325"/>
        <v>0</v>
      </c>
    </row>
    <row r="804" spans="1:7" ht="47.25" outlineLevel="2" x14ac:dyDescent="0.25">
      <c r="A804" s="21" t="s">
        <v>94</v>
      </c>
      <c r="B804" s="19" t="s">
        <v>106</v>
      </c>
      <c r="C804" s="19" t="s">
        <v>566</v>
      </c>
      <c r="D804" s="19" t="s">
        <v>95</v>
      </c>
      <c r="E804" s="20">
        <v>1048</v>
      </c>
      <c r="F804" s="20">
        <v>0</v>
      </c>
      <c r="G804" s="20">
        <v>0</v>
      </c>
    </row>
    <row r="805" spans="1:7" ht="78.75" outlineLevel="2" x14ac:dyDescent="0.25">
      <c r="A805" s="21" t="s">
        <v>563</v>
      </c>
      <c r="B805" s="19" t="s">
        <v>106</v>
      </c>
      <c r="C805" s="19" t="s">
        <v>567</v>
      </c>
      <c r="D805" s="19"/>
      <c r="E805" s="20">
        <f>E806</f>
        <v>2353.1</v>
      </c>
      <c r="F805" s="20">
        <f t="shared" ref="F805:G805" si="326">F806</f>
        <v>0</v>
      </c>
      <c r="G805" s="20">
        <f t="shared" si="326"/>
        <v>0</v>
      </c>
    </row>
    <row r="806" spans="1:7" ht="47.25" outlineLevel="2" x14ac:dyDescent="0.25">
      <c r="A806" s="21" t="s">
        <v>94</v>
      </c>
      <c r="B806" s="19" t="s">
        <v>106</v>
      </c>
      <c r="C806" s="19" t="s">
        <v>567</v>
      </c>
      <c r="D806" s="19" t="s">
        <v>95</v>
      </c>
      <c r="E806" s="20">
        <v>2353.1</v>
      </c>
      <c r="F806" s="20">
        <v>0</v>
      </c>
      <c r="G806" s="20">
        <v>0</v>
      </c>
    </row>
    <row r="807" spans="1:7" ht="47.25" outlineLevel="2" x14ac:dyDescent="0.25">
      <c r="A807" s="18" t="s">
        <v>741</v>
      </c>
      <c r="B807" s="19" t="s">
        <v>106</v>
      </c>
      <c r="C807" s="19" t="s">
        <v>743</v>
      </c>
      <c r="D807" s="19"/>
      <c r="E807" s="3">
        <f>E809</f>
        <v>8720.9</v>
      </c>
      <c r="F807" s="3">
        <f>F809</f>
        <v>20348.8</v>
      </c>
      <c r="G807" s="20">
        <v>0</v>
      </c>
    </row>
    <row r="808" spans="1:7" ht="31.5" outlineLevel="2" x14ac:dyDescent="0.25">
      <c r="A808" s="18" t="s">
        <v>775</v>
      </c>
      <c r="B808" s="19" t="s">
        <v>106</v>
      </c>
      <c r="C808" s="19" t="s">
        <v>776</v>
      </c>
      <c r="D808" s="19"/>
      <c r="E808" s="3">
        <f>E809</f>
        <v>8720.9</v>
      </c>
      <c r="F808" s="3">
        <f>F809</f>
        <v>20348.8</v>
      </c>
      <c r="G808" s="20">
        <f>G809</f>
        <v>0</v>
      </c>
    </row>
    <row r="809" spans="1:7" ht="70.5" customHeight="1" outlineLevel="2" x14ac:dyDescent="0.25">
      <c r="A809" s="18" t="s">
        <v>742</v>
      </c>
      <c r="B809" s="19" t="s">
        <v>106</v>
      </c>
      <c r="C809" s="19" t="s">
        <v>777</v>
      </c>
      <c r="D809" s="19"/>
      <c r="E809" s="3">
        <f t="shared" ref="E809:F809" si="327">E810</f>
        <v>8720.9</v>
      </c>
      <c r="F809" s="3">
        <f t="shared" si="327"/>
        <v>20348.8</v>
      </c>
      <c r="G809" s="20">
        <v>0</v>
      </c>
    </row>
    <row r="810" spans="1:7" ht="47.25" outlineLevel="2" x14ac:dyDescent="0.25">
      <c r="A810" s="18" t="s">
        <v>310</v>
      </c>
      <c r="B810" s="19" t="s">
        <v>106</v>
      </c>
      <c r="C810" s="19" t="s">
        <v>777</v>
      </c>
      <c r="D810" s="19" t="s">
        <v>464</v>
      </c>
      <c r="E810" s="3">
        <v>8720.9</v>
      </c>
      <c r="F810" s="3">
        <v>20348.8</v>
      </c>
      <c r="G810" s="20">
        <v>0</v>
      </c>
    </row>
    <row r="811" spans="1:7" outlineLevel="2" x14ac:dyDescent="0.25">
      <c r="A811" s="21" t="s">
        <v>144</v>
      </c>
      <c r="B811" s="31" t="s">
        <v>106</v>
      </c>
      <c r="C811" s="31" t="s">
        <v>107</v>
      </c>
      <c r="D811" s="31"/>
      <c r="E811" s="20">
        <f>E812</f>
        <v>377614.99999999994</v>
      </c>
      <c r="F811" s="20">
        <f>F812</f>
        <v>292121.90000000002</v>
      </c>
      <c r="G811" s="20">
        <f>G812</f>
        <v>330195.3</v>
      </c>
    </row>
    <row r="812" spans="1:7" ht="78.75" outlineLevel="2" x14ac:dyDescent="0.25">
      <c r="A812" s="21" t="s">
        <v>154</v>
      </c>
      <c r="B812" s="31" t="s">
        <v>106</v>
      </c>
      <c r="C812" s="31" t="s">
        <v>108</v>
      </c>
      <c r="D812" s="2"/>
      <c r="E812" s="20">
        <f>E813</f>
        <v>377614.99999999994</v>
      </c>
      <c r="F812" s="20">
        <f t="shared" si="318"/>
        <v>292121.90000000002</v>
      </c>
      <c r="G812" s="20">
        <f t="shared" si="318"/>
        <v>330195.3</v>
      </c>
    </row>
    <row r="813" spans="1:7" ht="47.25" outlineLevel="2" x14ac:dyDescent="0.25">
      <c r="A813" s="21" t="s">
        <v>151</v>
      </c>
      <c r="B813" s="31" t="s">
        <v>106</v>
      </c>
      <c r="C813" s="31" t="s">
        <v>109</v>
      </c>
      <c r="D813" s="31"/>
      <c r="E813" s="20">
        <f>E814</f>
        <v>377614.99999999994</v>
      </c>
      <c r="F813" s="20">
        <f t="shared" si="318"/>
        <v>292121.90000000002</v>
      </c>
      <c r="G813" s="20">
        <f t="shared" si="318"/>
        <v>330195.3</v>
      </c>
    </row>
    <row r="814" spans="1:7" ht="47.25" outlineLevel="2" x14ac:dyDescent="0.25">
      <c r="A814" s="21" t="s">
        <v>94</v>
      </c>
      <c r="B814" s="31" t="s">
        <v>106</v>
      </c>
      <c r="C814" s="31" t="s">
        <v>109</v>
      </c>
      <c r="D814" s="31" t="s">
        <v>95</v>
      </c>
      <c r="E814" s="20">
        <f>370930.1+6233.3+451.6</f>
        <v>377614.99999999994</v>
      </c>
      <c r="F814" s="20">
        <v>292121.90000000002</v>
      </c>
      <c r="G814" s="20">
        <v>330195.3</v>
      </c>
    </row>
    <row r="815" spans="1:7" ht="31.5" outlineLevel="1" x14ac:dyDescent="0.25">
      <c r="A815" s="21" t="s">
        <v>110</v>
      </c>
      <c r="B815" s="31" t="s">
        <v>111</v>
      </c>
      <c r="C815" s="31"/>
      <c r="D815" s="31"/>
      <c r="E815" s="20">
        <f>E816</f>
        <v>93349.6</v>
      </c>
      <c r="F815" s="20">
        <f t="shared" ref="F815:G815" si="328">F816</f>
        <v>92176.3</v>
      </c>
      <c r="G815" s="20">
        <f t="shared" si="328"/>
        <v>92872.699999999983</v>
      </c>
    </row>
    <row r="816" spans="1:7" ht="31.5" outlineLevel="2" x14ac:dyDescent="0.25">
      <c r="A816" s="21" t="s">
        <v>153</v>
      </c>
      <c r="B816" s="31" t="s">
        <v>111</v>
      </c>
      <c r="C816" s="31" t="s">
        <v>96</v>
      </c>
      <c r="D816" s="31"/>
      <c r="E816" s="20">
        <f>E817+E821</f>
        <v>93349.6</v>
      </c>
      <c r="F816" s="20">
        <f t="shared" ref="F816:G816" si="329">F817+F821</f>
        <v>92176.3</v>
      </c>
      <c r="G816" s="20">
        <f t="shared" si="329"/>
        <v>92872.699999999983</v>
      </c>
    </row>
    <row r="817" spans="1:7" ht="31.5" outlineLevel="2" x14ac:dyDescent="0.25">
      <c r="A817" s="21" t="s">
        <v>155</v>
      </c>
      <c r="B817" s="31" t="s">
        <v>111</v>
      </c>
      <c r="C817" s="31" t="s">
        <v>97</v>
      </c>
      <c r="D817" s="31"/>
      <c r="E817" s="20">
        <f>E818</f>
        <v>1576</v>
      </c>
      <c r="F817" s="20">
        <f t="shared" ref="F817:G817" si="330">F818</f>
        <v>1414.4</v>
      </c>
      <c r="G817" s="20">
        <f t="shared" si="330"/>
        <v>1414.4</v>
      </c>
    </row>
    <row r="818" spans="1:7" ht="47.25" outlineLevel="2" x14ac:dyDescent="0.25">
      <c r="A818" s="21" t="s">
        <v>156</v>
      </c>
      <c r="B818" s="31" t="s">
        <v>111</v>
      </c>
      <c r="C818" s="31" t="s">
        <v>98</v>
      </c>
      <c r="D818" s="31"/>
      <c r="E818" s="20">
        <f>E819</f>
        <v>1576</v>
      </c>
      <c r="F818" s="20">
        <f>F819</f>
        <v>1414.4</v>
      </c>
      <c r="G818" s="20">
        <f>G819</f>
        <v>1414.4</v>
      </c>
    </row>
    <row r="819" spans="1:7" ht="126" outlineLevel="2" x14ac:dyDescent="0.25">
      <c r="A819" s="21" t="s">
        <v>157</v>
      </c>
      <c r="B819" s="31" t="s">
        <v>111</v>
      </c>
      <c r="C819" s="31" t="s">
        <v>158</v>
      </c>
      <c r="D819" s="31"/>
      <c r="E819" s="20">
        <f>E820</f>
        <v>1576</v>
      </c>
      <c r="F819" s="20">
        <f>F820</f>
        <v>1414.4</v>
      </c>
      <c r="G819" s="20">
        <f>G820</f>
        <v>1414.4</v>
      </c>
    </row>
    <row r="820" spans="1:7" ht="47.25" outlineLevel="2" x14ac:dyDescent="0.25">
      <c r="A820" s="21" t="s">
        <v>94</v>
      </c>
      <c r="B820" s="31" t="s">
        <v>111</v>
      </c>
      <c r="C820" s="31" t="s">
        <v>158</v>
      </c>
      <c r="D820" s="31">
        <v>600</v>
      </c>
      <c r="E820" s="20">
        <v>1576</v>
      </c>
      <c r="F820" s="20">
        <v>1414.4</v>
      </c>
      <c r="G820" s="20">
        <v>1414.4</v>
      </c>
    </row>
    <row r="821" spans="1:7" outlineLevel="2" x14ac:dyDescent="0.25">
      <c r="A821" s="21" t="s">
        <v>144</v>
      </c>
      <c r="B821" s="31" t="s">
        <v>111</v>
      </c>
      <c r="C821" s="31" t="s">
        <v>107</v>
      </c>
      <c r="D821" s="31"/>
      <c r="E821" s="20">
        <f>E822+E828+E833</f>
        <v>91773.6</v>
      </c>
      <c r="F821" s="20">
        <f t="shared" ref="F821:G821" si="331">F822+F828+F833</f>
        <v>90761.900000000009</v>
      </c>
      <c r="G821" s="20">
        <f t="shared" si="331"/>
        <v>91458.299999999988</v>
      </c>
    </row>
    <row r="822" spans="1:7" ht="78.75" outlineLevel="2" x14ac:dyDescent="0.25">
      <c r="A822" s="21" t="s">
        <v>154</v>
      </c>
      <c r="B822" s="31" t="s">
        <v>111</v>
      </c>
      <c r="C822" s="31" t="s">
        <v>108</v>
      </c>
      <c r="D822" s="31"/>
      <c r="E822" s="20">
        <f>E823+E826</f>
        <v>89303</v>
      </c>
      <c r="F822" s="20">
        <f t="shared" ref="F822:G822" si="332">F823+F826</f>
        <v>89077.900000000009</v>
      </c>
      <c r="G822" s="20">
        <f t="shared" si="332"/>
        <v>89774.299999999988</v>
      </c>
    </row>
    <row r="823" spans="1:7" ht="47.25" outlineLevel="2" x14ac:dyDescent="0.25">
      <c r="A823" s="21" t="s">
        <v>159</v>
      </c>
      <c r="B823" s="31" t="s">
        <v>111</v>
      </c>
      <c r="C823" s="31" t="s">
        <v>160</v>
      </c>
      <c r="D823" s="31"/>
      <c r="E823" s="20">
        <f>E824+E825</f>
        <v>15047.4</v>
      </c>
      <c r="F823" s="20">
        <f t="shared" ref="F823:G823" si="333">F824+F825</f>
        <v>14142.3</v>
      </c>
      <c r="G823" s="20">
        <f t="shared" si="333"/>
        <v>14131.4</v>
      </c>
    </row>
    <row r="824" spans="1:7" ht="84.75" customHeight="1" outlineLevel="2" x14ac:dyDescent="0.25">
      <c r="A824" s="21" t="s">
        <v>75</v>
      </c>
      <c r="B824" s="31" t="s">
        <v>111</v>
      </c>
      <c r="C824" s="31" t="s">
        <v>160</v>
      </c>
      <c r="D824" s="31" t="s">
        <v>38</v>
      </c>
      <c r="E824" s="20">
        <f>13819.3+617.1</f>
        <v>14436.4</v>
      </c>
      <c r="F824" s="20">
        <v>13623.3</v>
      </c>
      <c r="G824" s="20">
        <v>13623.3</v>
      </c>
    </row>
    <row r="825" spans="1:7" ht="32.25" customHeight="1" outlineLevel="2" x14ac:dyDescent="0.25">
      <c r="A825" s="21" t="s">
        <v>76</v>
      </c>
      <c r="B825" s="31" t="s">
        <v>111</v>
      </c>
      <c r="C825" s="31" t="s">
        <v>160</v>
      </c>
      <c r="D825" s="31" t="s">
        <v>39</v>
      </c>
      <c r="E825" s="20">
        <f>519+92</f>
        <v>611</v>
      </c>
      <c r="F825" s="20">
        <v>519</v>
      </c>
      <c r="G825" s="20">
        <v>508.1</v>
      </c>
    </row>
    <row r="826" spans="1:7" ht="33.75" customHeight="1" outlineLevel="2" x14ac:dyDescent="0.25">
      <c r="A826" s="21" t="s">
        <v>151</v>
      </c>
      <c r="B826" s="31" t="s">
        <v>111</v>
      </c>
      <c r="C826" s="31" t="s">
        <v>109</v>
      </c>
      <c r="D826" s="31"/>
      <c r="E826" s="20">
        <f>E827</f>
        <v>74255.600000000006</v>
      </c>
      <c r="F826" s="20">
        <f>F827</f>
        <v>74935.600000000006</v>
      </c>
      <c r="G826" s="20">
        <f>G827</f>
        <v>75642.899999999994</v>
      </c>
    </row>
    <row r="827" spans="1:7" ht="47.25" outlineLevel="2" x14ac:dyDescent="0.25">
      <c r="A827" s="21" t="s">
        <v>94</v>
      </c>
      <c r="B827" s="31" t="s">
        <v>111</v>
      </c>
      <c r="C827" s="31" t="s">
        <v>109</v>
      </c>
      <c r="D827" s="31" t="s">
        <v>95</v>
      </c>
      <c r="E827" s="20">
        <v>74255.600000000006</v>
      </c>
      <c r="F827" s="20">
        <v>74935.600000000006</v>
      </c>
      <c r="G827" s="20">
        <v>75642.899999999994</v>
      </c>
    </row>
    <row r="828" spans="1:7" ht="47.25" outlineLevel="2" x14ac:dyDescent="0.25">
      <c r="A828" s="21" t="s">
        <v>504</v>
      </c>
      <c r="B828" s="31" t="s">
        <v>111</v>
      </c>
      <c r="C828" s="31" t="s">
        <v>161</v>
      </c>
      <c r="D828" s="31"/>
      <c r="E828" s="20">
        <f>E829+E831</f>
        <v>1763.5</v>
      </c>
      <c r="F828" s="20">
        <f t="shared" ref="F828:G828" si="334">F829+F831</f>
        <v>1169</v>
      </c>
      <c r="G828" s="20">
        <f t="shared" si="334"/>
        <v>1169</v>
      </c>
    </row>
    <row r="829" spans="1:7" ht="31.5" outlineLevel="2" x14ac:dyDescent="0.25">
      <c r="A829" s="21" t="s">
        <v>162</v>
      </c>
      <c r="B829" s="31" t="s">
        <v>111</v>
      </c>
      <c r="C829" s="31" t="s">
        <v>163</v>
      </c>
      <c r="D829" s="31"/>
      <c r="E829" s="20">
        <f>E830</f>
        <v>482.2</v>
      </c>
      <c r="F829" s="20">
        <f t="shared" ref="F829:G829" si="335">F830</f>
        <v>565.79999999999995</v>
      </c>
      <c r="G829" s="20">
        <f t="shared" si="335"/>
        <v>565.79999999999995</v>
      </c>
    </row>
    <row r="830" spans="1:7" ht="31.5" outlineLevel="2" x14ac:dyDescent="0.25">
      <c r="A830" s="21" t="s">
        <v>76</v>
      </c>
      <c r="B830" s="31" t="s">
        <v>111</v>
      </c>
      <c r="C830" s="31" t="s">
        <v>163</v>
      </c>
      <c r="D830" s="31" t="s">
        <v>39</v>
      </c>
      <c r="E830" s="20">
        <f>482.2+112.3-112.3</f>
        <v>482.2</v>
      </c>
      <c r="F830" s="20">
        <v>565.79999999999995</v>
      </c>
      <c r="G830" s="20">
        <v>565.79999999999995</v>
      </c>
    </row>
    <row r="831" spans="1:7" ht="47.25" outlineLevel="2" x14ac:dyDescent="0.25">
      <c r="A831" s="21" t="s">
        <v>164</v>
      </c>
      <c r="B831" s="31" t="s">
        <v>111</v>
      </c>
      <c r="C831" s="31" t="s">
        <v>165</v>
      </c>
      <c r="D831" s="31"/>
      <c r="E831" s="20">
        <f>E832</f>
        <v>1281.3</v>
      </c>
      <c r="F831" s="20">
        <f t="shared" ref="F831:G831" si="336">F832</f>
        <v>603.20000000000005</v>
      </c>
      <c r="G831" s="20">
        <f t="shared" si="336"/>
        <v>603.20000000000005</v>
      </c>
    </row>
    <row r="832" spans="1:7" ht="47.25" outlineLevel="2" x14ac:dyDescent="0.25">
      <c r="A832" s="21" t="s">
        <v>94</v>
      </c>
      <c r="B832" s="31" t="s">
        <v>111</v>
      </c>
      <c r="C832" s="31" t="s">
        <v>165</v>
      </c>
      <c r="D832" s="31">
        <v>600</v>
      </c>
      <c r="E832" s="20">
        <f>1169+112.3</f>
        <v>1281.3</v>
      </c>
      <c r="F832" s="20">
        <v>603.20000000000005</v>
      </c>
      <c r="G832" s="20">
        <v>603.20000000000005</v>
      </c>
    </row>
    <row r="833" spans="1:7" ht="47.25" outlineLevel="2" x14ac:dyDescent="0.25">
      <c r="A833" s="21" t="s">
        <v>166</v>
      </c>
      <c r="B833" s="31" t="s">
        <v>111</v>
      </c>
      <c r="C833" s="31" t="s">
        <v>167</v>
      </c>
      <c r="D833" s="63"/>
      <c r="E833" s="20">
        <f>E834+E836</f>
        <v>707.1</v>
      </c>
      <c r="F833" s="20">
        <f t="shared" ref="F833:G833" si="337">F834+F836</f>
        <v>515</v>
      </c>
      <c r="G833" s="20">
        <f t="shared" si="337"/>
        <v>515</v>
      </c>
    </row>
    <row r="834" spans="1:7" ht="49.5" customHeight="1" outlineLevel="2" x14ac:dyDescent="0.25">
      <c r="A834" s="9" t="s">
        <v>168</v>
      </c>
      <c r="B834" s="31" t="s">
        <v>111</v>
      </c>
      <c r="C834" s="31" t="s">
        <v>505</v>
      </c>
      <c r="D834" s="31"/>
      <c r="E834" s="20">
        <f>E835</f>
        <v>408.1</v>
      </c>
      <c r="F834" s="20">
        <f>F835</f>
        <v>216</v>
      </c>
      <c r="G834" s="20">
        <f>G835</f>
        <v>216</v>
      </c>
    </row>
    <row r="835" spans="1:7" ht="31.5" outlineLevel="2" x14ac:dyDescent="0.25">
      <c r="A835" s="9" t="s">
        <v>20</v>
      </c>
      <c r="B835" s="31" t="s">
        <v>111</v>
      </c>
      <c r="C835" s="31" t="s">
        <v>505</v>
      </c>
      <c r="D835" s="31">
        <v>300</v>
      </c>
      <c r="E835" s="20">
        <v>408.1</v>
      </c>
      <c r="F835" s="20">
        <v>216</v>
      </c>
      <c r="G835" s="20">
        <v>216</v>
      </c>
    </row>
    <row r="836" spans="1:7" ht="47.25" outlineLevel="2" x14ac:dyDescent="0.25">
      <c r="A836" s="21" t="s">
        <v>169</v>
      </c>
      <c r="B836" s="31" t="s">
        <v>111</v>
      </c>
      <c r="C836" s="31" t="s">
        <v>170</v>
      </c>
      <c r="D836" s="31"/>
      <c r="E836" s="20">
        <f>E837+E838</f>
        <v>299</v>
      </c>
      <c r="F836" s="20">
        <f t="shared" ref="F836:G836" si="338">F837+F838</f>
        <v>299</v>
      </c>
      <c r="G836" s="20">
        <f t="shared" si="338"/>
        <v>299</v>
      </c>
    </row>
    <row r="837" spans="1:7" ht="33" customHeight="1" outlineLevel="2" x14ac:dyDescent="0.25">
      <c r="A837" s="9" t="s">
        <v>20</v>
      </c>
      <c r="B837" s="31" t="s">
        <v>111</v>
      </c>
      <c r="C837" s="31" t="s">
        <v>171</v>
      </c>
      <c r="D837" s="31">
        <v>300</v>
      </c>
      <c r="E837" s="20">
        <f>299-200</f>
        <v>99</v>
      </c>
      <c r="F837" s="20">
        <v>299</v>
      </c>
      <c r="G837" s="20">
        <v>299</v>
      </c>
    </row>
    <row r="838" spans="1:7" ht="48.75" customHeight="1" outlineLevel="2" x14ac:dyDescent="0.25">
      <c r="A838" s="21" t="s">
        <v>94</v>
      </c>
      <c r="B838" s="19" t="s">
        <v>111</v>
      </c>
      <c r="C838" s="19" t="s">
        <v>171</v>
      </c>
      <c r="D838" s="19" t="s">
        <v>95</v>
      </c>
      <c r="E838" s="20">
        <v>200</v>
      </c>
      <c r="F838" s="20">
        <v>0</v>
      </c>
      <c r="G838" s="20">
        <v>0</v>
      </c>
    </row>
    <row r="839" spans="1:7" x14ac:dyDescent="0.25">
      <c r="A839" s="64" t="s">
        <v>119</v>
      </c>
      <c r="B839" s="15" t="s">
        <v>120</v>
      </c>
      <c r="C839" s="15"/>
      <c r="D839" s="16"/>
      <c r="E839" s="53">
        <f>E840+E844+E859</f>
        <v>435769.39999999997</v>
      </c>
      <c r="F839" s="53">
        <f>F840+F844+F859</f>
        <v>372779.7</v>
      </c>
      <c r="G839" s="53">
        <f>G840+G844+G859</f>
        <v>387789.7</v>
      </c>
    </row>
    <row r="840" spans="1:7" outlineLevel="1" x14ac:dyDescent="0.25">
      <c r="A840" s="18" t="s">
        <v>121</v>
      </c>
      <c r="B840" s="19" t="s">
        <v>122</v>
      </c>
      <c r="C840" s="19"/>
      <c r="D840" s="10"/>
      <c r="E840" s="20">
        <f>E841</f>
        <v>11909</v>
      </c>
      <c r="F840" s="20">
        <f t="shared" ref="F840:G842" si="339">F841</f>
        <v>12159.6</v>
      </c>
      <c r="G840" s="20">
        <f t="shared" si="339"/>
        <v>12159.6</v>
      </c>
    </row>
    <row r="841" spans="1:7" outlineLevel="2" x14ac:dyDescent="0.25">
      <c r="A841" s="18" t="s">
        <v>9</v>
      </c>
      <c r="B841" s="19" t="s">
        <v>122</v>
      </c>
      <c r="C841" s="19" t="s">
        <v>10</v>
      </c>
      <c r="D841" s="10"/>
      <c r="E841" s="20">
        <f>E842</f>
        <v>11909</v>
      </c>
      <c r="F841" s="20">
        <f t="shared" si="339"/>
        <v>12159.6</v>
      </c>
      <c r="G841" s="20">
        <f t="shared" si="339"/>
        <v>12159.6</v>
      </c>
    </row>
    <row r="842" spans="1:7" outlineLevel="2" x14ac:dyDescent="0.25">
      <c r="A842" s="18" t="s">
        <v>123</v>
      </c>
      <c r="B842" s="19" t="s">
        <v>122</v>
      </c>
      <c r="C842" s="19" t="s">
        <v>124</v>
      </c>
      <c r="D842" s="10"/>
      <c r="E842" s="20">
        <f>E843</f>
        <v>11909</v>
      </c>
      <c r="F842" s="20">
        <f t="shared" si="339"/>
        <v>12159.6</v>
      </c>
      <c r="G842" s="20">
        <f t="shared" si="339"/>
        <v>12159.6</v>
      </c>
    </row>
    <row r="843" spans="1:7" ht="31.5" outlineLevel="2" x14ac:dyDescent="0.25">
      <c r="A843" s="18" t="s">
        <v>20</v>
      </c>
      <c r="B843" s="19" t="s">
        <v>122</v>
      </c>
      <c r="C843" s="19" t="s">
        <v>124</v>
      </c>
      <c r="D843" s="10">
        <v>300</v>
      </c>
      <c r="E843" s="20">
        <f>11788.2+120.8</f>
        <v>11909</v>
      </c>
      <c r="F843" s="20">
        <v>12159.6</v>
      </c>
      <c r="G843" s="20">
        <v>12159.6</v>
      </c>
    </row>
    <row r="844" spans="1:7" outlineLevel="1" x14ac:dyDescent="0.25">
      <c r="A844" s="18" t="s">
        <v>125</v>
      </c>
      <c r="B844" s="19" t="s">
        <v>126</v>
      </c>
      <c r="C844" s="19"/>
      <c r="D844" s="10"/>
      <c r="E844" s="20">
        <f>E845+E850</f>
        <v>37236.400000000001</v>
      </c>
      <c r="F844" s="20">
        <f>F845+F850</f>
        <v>16159.2</v>
      </c>
      <c r="G844" s="20">
        <f>G845+G850</f>
        <v>17055.900000000001</v>
      </c>
    </row>
    <row r="845" spans="1:7" outlineLevel="2" x14ac:dyDescent="0.25">
      <c r="A845" s="18" t="s">
        <v>9</v>
      </c>
      <c r="B845" s="19" t="s">
        <v>126</v>
      </c>
      <c r="C845" s="19" t="s">
        <v>10</v>
      </c>
      <c r="D845" s="10"/>
      <c r="E845" s="20">
        <f>E846+E848</f>
        <v>5024.1000000000004</v>
      </c>
      <c r="F845" s="20">
        <f t="shared" ref="F845:G845" si="340">F846+F848</f>
        <v>5532.5</v>
      </c>
      <c r="G845" s="20">
        <f t="shared" si="340"/>
        <v>6087.4</v>
      </c>
    </row>
    <row r="846" spans="1:7" ht="31.5" outlineLevel="2" x14ac:dyDescent="0.25">
      <c r="A846" s="18" t="s">
        <v>127</v>
      </c>
      <c r="B846" s="19" t="s">
        <v>126</v>
      </c>
      <c r="C846" s="19" t="s">
        <v>128</v>
      </c>
      <c r="D846" s="10"/>
      <c r="E846" s="20">
        <f>E847</f>
        <v>2558.5</v>
      </c>
      <c r="F846" s="20">
        <f t="shared" ref="F846:G846" si="341">F847</f>
        <v>2894.5</v>
      </c>
      <c r="G846" s="20">
        <f t="shared" si="341"/>
        <v>3104.5</v>
      </c>
    </row>
    <row r="847" spans="1:7" ht="31.5" outlineLevel="2" x14ac:dyDescent="0.25">
      <c r="A847" s="18" t="s">
        <v>20</v>
      </c>
      <c r="B847" s="19" t="s">
        <v>126</v>
      </c>
      <c r="C847" s="19" t="s">
        <v>128</v>
      </c>
      <c r="D847" s="10">
        <v>300</v>
      </c>
      <c r="E847" s="20">
        <f>2684.5+-126</f>
        <v>2558.5</v>
      </c>
      <c r="F847" s="20">
        <v>2894.5</v>
      </c>
      <c r="G847" s="20">
        <v>3104.5</v>
      </c>
    </row>
    <row r="848" spans="1:7" ht="47.25" outlineLevel="2" x14ac:dyDescent="0.25">
      <c r="A848" s="18" t="s">
        <v>129</v>
      </c>
      <c r="B848" s="19" t="s">
        <v>126</v>
      </c>
      <c r="C848" s="19" t="s">
        <v>130</v>
      </c>
      <c r="D848" s="10"/>
      <c r="E848" s="20">
        <f>E849</f>
        <v>2465.6</v>
      </c>
      <c r="F848" s="20">
        <f t="shared" ref="F848:G848" si="342">F849</f>
        <v>2638</v>
      </c>
      <c r="G848" s="20">
        <f t="shared" si="342"/>
        <v>2982.9</v>
      </c>
    </row>
    <row r="849" spans="1:7" ht="31.5" outlineLevel="2" x14ac:dyDescent="0.25">
      <c r="A849" s="18" t="s">
        <v>20</v>
      </c>
      <c r="B849" s="19" t="s">
        <v>126</v>
      </c>
      <c r="C849" s="19" t="s">
        <v>130</v>
      </c>
      <c r="D849" s="10">
        <v>300</v>
      </c>
      <c r="E849" s="20">
        <v>2465.6</v>
      </c>
      <c r="F849" s="20">
        <v>2638</v>
      </c>
      <c r="G849" s="20">
        <v>2982.9</v>
      </c>
    </row>
    <row r="850" spans="1:7" ht="47.25" outlineLevel="2" x14ac:dyDescent="0.25">
      <c r="A850" s="30" t="s">
        <v>59</v>
      </c>
      <c r="B850" s="24" t="s">
        <v>126</v>
      </c>
      <c r="C850" s="24" t="s">
        <v>60</v>
      </c>
      <c r="D850" s="25"/>
      <c r="E850" s="20">
        <f>E851</f>
        <v>32212.3</v>
      </c>
      <c r="F850" s="20">
        <f t="shared" ref="F850:G851" si="343">F851</f>
        <v>10626.7</v>
      </c>
      <c r="G850" s="20">
        <f t="shared" si="343"/>
        <v>10968.500000000002</v>
      </c>
    </row>
    <row r="851" spans="1:7" ht="17.25" customHeight="1" outlineLevel="2" x14ac:dyDescent="0.25">
      <c r="A851" s="33" t="s">
        <v>155</v>
      </c>
      <c r="B851" s="31" t="s">
        <v>126</v>
      </c>
      <c r="C851" s="31" t="s">
        <v>451</v>
      </c>
      <c r="D851" s="25"/>
      <c r="E851" s="20">
        <f>E852</f>
        <v>32212.3</v>
      </c>
      <c r="F851" s="20">
        <f t="shared" si="343"/>
        <v>10626.7</v>
      </c>
      <c r="G851" s="20">
        <f t="shared" si="343"/>
        <v>10968.500000000002</v>
      </c>
    </row>
    <row r="852" spans="1:7" ht="47.25" outlineLevel="2" x14ac:dyDescent="0.25">
      <c r="A852" s="30" t="s">
        <v>498</v>
      </c>
      <c r="B852" s="24" t="s">
        <v>126</v>
      </c>
      <c r="C852" s="24" t="s">
        <v>452</v>
      </c>
      <c r="D852" s="25"/>
      <c r="E852" s="20">
        <f>E853+E855+E857</f>
        <v>32212.3</v>
      </c>
      <c r="F852" s="20">
        <f t="shared" ref="F852:G852" si="344">F853+F855+F857</f>
        <v>10626.7</v>
      </c>
      <c r="G852" s="20">
        <f t="shared" si="344"/>
        <v>10968.500000000002</v>
      </c>
    </row>
    <row r="853" spans="1:7" ht="78.75" outlineLevel="2" x14ac:dyDescent="0.25">
      <c r="A853" s="30" t="s">
        <v>453</v>
      </c>
      <c r="B853" s="24" t="s">
        <v>454</v>
      </c>
      <c r="C853" s="24" t="s">
        <v>455</v>
      </c>
      <c r="D853" s="25"/>
      <c r="E853" s="20">
        <f>E854</f>
        <v>1675.6</v>
      </c>
      <c r="F853" s="20">
        <f t="shared" ref="F853:G853" si="345">F854</f>
        <v>335.1</v>
      </c>
      <c r="G853" s="20">
        <f t="shared" si="345"/>
        <v>335.1</v>
      </c>
    </row>
    <row r="854" spans="1:7" ht="31.5" outlineLevel="2" x14ac:dyDescent="0.25">
      <c r="A854" s="30" t="s">
        <v>20</v>
      </c>
      <c r="B854" s="24" t="s">
        <v>454</v>
      </c>
      <c r="C854" s="24" t="s">
        <v>455</v>
      </c>
      <c r="D854" s="25">
        <v>300</v>
      </c>
      <c r="E854" s="20">
        <v>1675.6</v>
      </c>
      <c r="F854" s="20">
        <v>335.1</v>
      </c>
      <c r="G854" s="20">
        <v>335.1</v>
      </c>
    </row>
    <row r="855" spans="1:7" ht="31.5" outlineLevel="2" x14ac:dyDescent="0.25">
      <c r="A855" s="30" t="s">
        <v>456</v>
      </c>
      <c r="B855" s="24" t="s">
        <v>126</v>
      </c>
      <c r="C855" s="24" t="s">
        <v>457</v>
      </c>
      <c r="D855" s="25"/>
      <c r="E855" s="20">
        <f>E856</f>
        <v>5036.7</v>
      </c>
      <c r="F855" s="20">
        <f>F856</f>
        <v>8956.6</v>
      </c>
      <c r="G855" s="20">
        <f>G856</f>
        <v>9320.2000000000007</v>
      </c>
    </row>
    <row r="856" spans="1:7" ht="31.5" outlineLevel="2" x14ac:dyDescent="0.25">
      <c r="A856" s="21" t="s">
        <v>20</v>
      </c>
      <c r="B856" s="24" t="s">
        <v>126</v>
      </c>
      <c r="C856" s="24" t="s">
        <v>457</v>
      </c>
      <c r="D856" s="25">
        <v>300</v>
      </c>
      <c r="E856" s="20">
        <f>5972.4-935.7</f>
        <v>5036.7</v>
      </c>
      <c r="F856" s="20">
        <v>8956.6</v>
      </c>
      <c r="G856" s="20">
        <v>9320.2000000000007</v>
      </c>
    </row>
    <row r="857" spans="1:7" ht="110.25" outlineLevel="2" x14ac:dyDescent="0.25">
      <c r="A857" s="1" t="s">
        <v>458</v>
      </c>
      <c r="B857" s="24" t="s">
        <v>126</v>
      </c>
      <c r="C857" s="2" t="s">
        <v>459</v>
      </c>
      <c r="D857" s="25"/>
      <c r="E857" s="20">
        <f>E858</f>
        <v>25500</v>
      </c>
      <c r="F857" s="20">
        <f>F858</f>
        <v>1335</v>
      </c>
      <c r="G857" s="20">
        <f>G858</f>
        <v>1313.2</v>
      </c>
    </row>
    <row r="858" spans="1:7" ht="31.5" outlineLevel="2" x14ac:dyDescent="0.25">
      <c r="A858" s="21" t="s">
        <v>20</v>
      </c>
      <c r="B858" s="24" t="s">
        <v>126</v>
      </c>
      <c r="C858" s="2" t="s">
        <v>459</v>
      </c>
      <c r="D858" s="25">
        <v>300</v>
      </c>
      <c r="E858" s="20">
        <v>25500</v>
      </c>
      <c r="F858" s="20">
        <v>1335</v>
      </c>
      <c r="G858" s="20">
        <v>1313.2</v>
      </c>
    </row>
    <row r="859" spans="1:7" outlineLevel="1" x14ac:dyDescent="0.25">
      <c r="A859" s="21" t="s">
        <v>136</v>
      </c>
      <c r="B859" s="19" t="s">
        <v>137</v>
      </c>
      <c r="C859" s="19"/>
      <c r="D859" s="19"/>
      <c r="E859" s="20">
        <f>E873+E860</f>
        <v>386623.99999999994</v>
      </c>
      <c r="F859" s="20">
        <f t="shared" ref="F859:G859" si="346">F873+F860</f>
        <v>344460.9</v>
      </c>
      <c r="G859" s="20">
        <f t="shared" si="346"/>
        <v>358574.2</v>
      </c>
    </row>
    <row r="860" spans="1:7" ht="47.25" outlineLevel="2" x14ac:dyDescent="0.25">
      <c r="A860" s="34" t="s">
        <v>59</v>
      </c>
      <c r="B860" s="24" t="s">
        <v>137</v>
      </c>
      <c r="C860" s="24" t="s">
        <v>60</v>
      </c>
      <c r="D860" s="2"/>
      <c r="E860" s="20">
        <f>E867+E861</f>
        <v>160329.19999999995</v>
      </c>
      <c r="F860" s="20">
        <f t="shared" ref="F860:G860" si="347">F867+F861</f>
        <v>99956.6</v>
      </c>
      <c r="G860" s="20">
        <f t="shared" si="347"/>
        <v>112539.1</v>
      </c>
    </row>
    <row r="861" spans="1:7" ht="19.5" customHeight="1" outlineLevel="2" x14ac:dyDescent="0.25">
      <c r="A861" s="33" t="s">
        <v>155</v>
      </c>
      <c r="B861" s="31" t="s">
        <v>137</v>
      </c>
      <c r="C861" s="31" t="s">
        <v>451</v>
      </c>
      <c r="D861" s="24"/>
      <c r="E861" s="20">
        <f>E862</f>
        <v>158174.39999999997</v>
      </c>
      <c r="F861" s="20">
        <f t="shared" ref="F861:G865" si="348">F862</f>
        <v>98162.200000000012</v>
      </c>
      <c r="G861" s="20">
        <f t="shared" si="348"/>
        <v>110669.3</v>
      </c>
    </row>
    <row r="862" spans="1:7" ht="47.25" outlineLevel="2" x14ac:dyDescent="0.25">
      <c r="A862" s="30" t="s">
        <v>498</v>
      </c>
      <c r="B862" s="24" t="s">
        <v>137</v>
      </c>
      <c r="C862" s="24" t="s">
        <v>452</v>
      </c>
      <c r="D862" s="24"/>
      <c r="E862" s="20">
        <f>E865+E863</f>
        <v>158174.39999999997</v>
      </c>
      <c r="F862" s="20">
        <f t="shared" ref="F862:G862" si="349">F865+F863</f>
        <v>98162.200000000012</v>
      </c>
      <c r="G862" s="20">
        <f t="shared" si="349"/>
        <v>110669.3</v>
      </c>
    </row>
    <row r="863" spans="1:7" ht="113.25" customHeight="1" outlineLevel="2" x14ac:dyDescent="0.25">
      <c r="A863" s="9" t="s">
        <v>625</v>
      </c>
      <c r="B863" s="24" t="s">
        <v>137</v>
      </c>
      <c r="C863" s="19" t="s">
        <v>626</v>
      </c>
      <c r="D863" s="19"/>
      <c r="E863" s="20">
        <f>E864</f>
        <v>92181.4</v>
      </c>
      <c r="F863" s="20">
        <f t="shared" ref="F863:G863" si="350">F864</f>
        <v>0</v>
      </c>
      <c r="G863" s="20">
        <f t="shared" si="350"/>
        <v>0</v>
      </c>
    </row>
    <row r="864" spans="1:7" ht="36.75" customHeight="1" outlineLevel="2" x14ac:dyDescent="0.25">
      <c r="A864" s="9" t="s">
        <v>310</v>
      </c>
      <c r="B864" s="24" t="s">
        <v>137</v>
      </c>
      <c r="C864" s="19" t="s">
        <v>626</v>
      </c>
      <c r="D864" s="19" t="s">
        <v>464</v>
      </c>
      <c r="E864" s="20">
        <v>92181.4</v>
      </c>
      <c r="F864" s="20">
        <v>0</v>
      </c>
      <c r="G864" s="20">
        <v>0</v>
      </c>
    </row>
    <row r="865" spans="1:7" ht="63" outlineLevel="2" x14ac:dyDescent="0.25">
      <c r="A865" s="9" t="s">
        <v>636</v>
      </c>
      <c r="B865" s="24" t="s">
        <v>137</v>
      </c>
      <c r="C865" s="19" t="s">
        <v>463</v>
      </c>
      <c r="D865" s="24"/>
      <c r="E865" s="20">
        <f>E866</f>
        <v>65992.999999999985</v>
      </c>
      <c r="F865" s="20">
        <f t="shared" si="348"/>
        <v>98162.200000000012</v>
      </c>
      <c r="G865" s="20">
        <f t="shared" si="348"/>
        <v>110669.3</v>
      </c>
    </row>
    <row r="866" spans="1:7" ht="34.5" customHeight="1" outlineLevel="2" x14ac:dyDescent="0.25">
      <c r="A866" s="42" t="s">
        <v>310</v>
      </c>
      <c r="B866" s="24" t="s">
        <v>137</v>
      </c>
      <c r="C866" s="19" t="s">
        <v>463</v>
      </c>
      <c r="D866" s="24" t="s">
        <v>464</v>
      </c>
      <c r="E866" s="20">
        <v>65992.999999999985</v>
      </c>
      <c r="F866" s="20">
        <v>98162.200000000012</v>
      </c>
      <c r="G866" s="20">
        <v>110669.3</v>
      </c>
    </row>
    <row r="867" spans="1:7" outlineLevel="2" x14ac:dyDescent="0.25">
      <c r="A867" s="33" t="s">
        <v>144</v>
      </c>
      <c r="B867" s="24" t="s">
        <v>137</v>
      </c>
      <c r="C867" s="24" t="s">
        <v>135</v>
      </c>
      <c r="D867" s="2"/>
      <c r="E867" s="20">
        <f>E868</f>
        <v>2154.7999999999997</v>
      </c>
      <c r="F867" s="20">
        <f t="shared" ref="F867:G867" si="351">F868</f>
        <v>1794.4</v>
      </c>
      <c r="G867" s="20">
        <f t="shared" si="351"/>
        <v>1869.8</v>
      </c>
    </row>
    <row r="868" spans="1:7" ht="78.75" outlineLevel="2" x14ac:dyDescent="0.25">
      <c r="A868" s="9" t="s">
        <v>499</v>
      </c>
      <c r="B868" s="24" t="s">
        <v>137</v>
      </c>
      <c r="C868" s="19" t="s">
        <v>460</v>
      </c>
      <c r="D868" s="2"/>
      <c r="E868" s="20">
        <f>E869+E871</f>
        <v>2154.7999999999997</v>
      </c>
      <c r="F868" s="20">
        <f t="shared" ref="F868:G868" si="352">F869+F871</f>
        <v>1794.4</v>
      </c>
      <c r="G868" s="20">
        <f t="shared" si="352"/>
        <v>1869.8</v>
      </c>
    </row>
    <row r="869" spans="1:7" ht="97.5" customHeight="1" outlineLevel="2" x14ac:dyDescent="0.25">
      <c r="A869" s="33" t="s">
        <v>461</v>
      </c>
      <c r="B869" s="24" t="s">
        <v>137</v>
      </c>
      <c r="C869" s="19" t="s">
        <v>462</v>
      </c>
      <c r="D869" s="2"/>
      <c r="E869" s="20">
        <f>E870</f>
        <v>1205.8</v>
      </c>
      <c r="F869" s="20">
        <f t="shared" ref="F869:G869" si="353">F870</f>
        <v>1205.8</v>
      </c>
      <c r="G869" s="20">
        <f t="shared" si="353"/>
        <v>1205.8</v>
      </c>
    </row>
    <row r="870" spans="1:7" ht="31.5" outlineLevel="2" x14ac:dyDescent="0.25">
      <c r="A870" s="18" t="s">
        <v>20</v>
      </c>
      <c r="B870" s="19" t="s">
        <v>137</v>
      </c>
      <c r="C870" s="19" t="s">
        <v>462</v>
      </c>
      <c r="D870" s="10">
        <v>300</v>
      </c>
      <c r="E870" s="20">
        <v>1205.8</v>
      </c>
      <c r="F870" s="20">
        <v>1205.8</v>
      </c>
      <c r="G870" s="20">
        <v>1205.8</v>
      </c>
    </row>
    <row r="871" spans="1:7" ht="94.5" outlineLevel="2" x14ac:dyDescent="0.25">
      <c r="A871" s="1" t="s">
        <v>465</v>
      </c>
      <c r="B871" s="24" t="s">
        <v>137</v>
      </c>
      <c r="C871" s="19" t="s">
        <v>466</v>
      </c>
      <c r="D871" s="24"/>
      <c r="E871" s="20">
        <f>E872</f>
        <v>948.99999999999989</v>
      </c>
      <c r="F871" s="20">
        <f t="shared" ref="F871:G871" si="354">F872</f>
        <v>588.6</v>
      </c>
      <c r="G871" s="20">
        <f t="shared" si="354"/>
        <v>664</v>
      </c>
    </row>
    <row r="872" spans="1:7" ht="31.5" outlineLevel="2" x14ac:dyDescent="0.25">
      <c r="A872" s="21" t="s">
        <v>76</v>
      </c>
      <c r="B872" s="24" t="s">
        <v>137</v>
      </c>
      <c r="C872" s="19" t="s">
        <v>466</v>
      </c>
      <c r="D872" s="24" t="s">
        <v>39</v>
      </c>
      <c r="E872" s="20">
        <v>948.99999999999989</v>
      </c>
      <c r="F872" s="20">
        <v>588.6</v>
      </c>
      <c r="G872" s="20">
        <v>664</v>
      </c>
    </row>
    <row r="873" spans="1:7" ht="31.5" outlineLevel="2" x14ac:dyDescent="0.25">
      <c r="A873" s="21" t="s">
        <v>209</v>
      </c>
      <c r="B873" s="19" t="s">
        <v>137</v>
      </c>
      <c r="C873" s="19" t="s">
        <v>210</v>
      </c>
      <c r="D873" s="19"/>
      <c r="E873" s="20">
        <f>E874</f>
        <v>226294.8</v>
      </c>
      <c r="F873" s="20">
        <f t="shared" ref="F873:G873" si="355">F874</f>
        <v>244504.3</v>
      </c>
      <c r="G873" s="20">
        <f t="shared" si="355"/>
        <v>246035.1</v>
      </c>
    </row>
    <row r="874" spans="1:7" outlineLevel="2" x14ac:dyDescent="0.25">
      <c r="A874" s="21" t="s">
        <v>144</v>
      </c>
      <c r="B874" s="19" t="s">
        <v>137</v>
      </c>
      <c r="C874" s="19" t="s">
        <v>216</v>
      </c>
      <c r="D874" s="19"/>
      <c r="E874" s="20">
        <f>E875+E880</f>
        <v>226294.8</v>
      </c>
      <c r="F874" s="20">
        <f t="shared" ref="F874:G874" si="356">F875+F880</f>
        <v>244504.3</v>
      </c>
      <c r="G874" s="20">
        <f t="shared" si="356"/>
        <v>246035.1</v>
      </c>
    </row>
    <row r="875" spans="1:7" ht="49.5" customHeight="1" outlineLevel="2" x14ac:dyDescent="0.25">
      <c r="A875" s="33" t="s">
        <v>495</v>
      </c>
      <c r="B875" s="19" t="s">
        <v>137</v>
      </c>
      <c r="C875" s="19" t="s">
        <v>217</v>
      </c>
      <c r="D875" s="19"/>
      <c r="E875" s="20">
        <f>E876</f>
        <v>166261.09999999998</v>
      </c>
      <c r="F875" s="20">
        <f t="shared" ref="F875:G875" si="357">F876</f>
        <v>181455.6</v>
      </c>
      <c r="G875" s="20">
        <f t="shared" si="357"/>
        <v>182999.5</v>
      </c>
    </row>
    <row r="876" spans="1:7" ht="69.75" customHeight="1" outlineLevel="2" x14ac:dyDescent="0.25">
      <c r="A876" s="33" t="s">
        <v>265</v>
      </c>
      <c r="B876" s="19" t="s">
        <v>137</v>
      </c>
      <c r="C876" s="19" t="s">
        <v>266</v>
      </c>
      <c r="D876" s="10"/>
      <c r="E876" s="20">
        <f>E877+E878+E879</f>
        <v>166261.09999999998</v>
      </c>
      <c r="F876" s="20">
        <f t="shared" ref="F876:G876" si="358">F877+F878+F879</f>
        <v>181455.6</v>
      </c>
      <c r="G876" s="20">
        <f t="shared" si="358"/>
        <v>182999.5</v>
      </c>
    </row>
    <row r="877" spans="1:7" ht="31.5" outlineLevel="2" x14ac:dyDescent="0.25">
      <c r="A877" s="18" t="s">
        <v>76</v>
      </c>
      <c r="B877" s="19" t="s">
        <v>137</v>
      </c>
      <c r="C877" s="19" t="s">
        <v>266</v>
      </c>
      <c r="D877" s="10">
        <v>200</v>
      </c>
      <c r="E877" s="20">
        <v>17</v>
      </c>
      <c r="F877" s="20">
        <v>17</v>
      </c>
      <c r="G877" s="20">
        <v>17</v>
      </c>
    </row>
    <row r="878" spans="1:7" ht="31.5" outlineLevel="2" x14ac:dyDescent="0.25">
      <c r="A878" s="18" t="s">
        <v>20</v>
      </c>
      <c r="B878" s="19" t="s">
        <v>137</v>
      </c>
      <c r="C878" s="19" t="s">
        <v>266</v>
      </c>
      <c r="D878" s="10">
        <v>300</v>
      </c>
      <c r="E878" s="20">
        <v>2390</v>
      </c>
      <c r="F878" s="20">
        <v>2390</v>
      </c>
      <c r="G878" s="20">
        <v>2390</v>
      </c>
    </row>
    <row r="879" spans="1:7" ht="47.25" outlineLevel="2" x14ac:dyDescent="0.25">
      <c r="A879" s="21" t="s">
        <v>94</v>
      </c>
      <c r="B879" s="19" t="s">
        <v>137</v>
      </c>
      <c r="C879" s="19" t="s">
        <v>266</v>
      </c>
      <c r="D879" s="10">
        <v>600</v>
      </c>
      <c r="E879" s="20">
        <v>163854.09999999998</v>
      </c>
      <c r="F879" s="20">
        <v>179048.6</v>
      </c>
      <c r="G879" s="20">
        <v>180592.5</v>
      </c>
    </row>
    <row r="880" spans="1:7" ht="47.25" outlineLevel="2" x14ac:dyDescent="0.25">
      <c r="A880" s="33" t="s">
        <v>496</v>
      </c>
      <c r="B880" s="19" t="s">
        <v>137</v>
      </c>
      <c r="C880" s="19" t="s">
        <v>269</v>
      </c>
      <c r="D880" s="10"/>
      <c r="E880" s="20">
        <f>E881+E884+E887</f>
        <v>60033.7</v>
      </c>
      <c r="F880" s="20">
        <f t="shared" ref="F880:G880" si="359">F881+F884+F887</f>
        <v>63048.7</v>
      </c>
      <c r="G880" s="20">
        <f t="shared" si="359"/>
        <v>63035.6</v>
      </c>
    </row>
    <row r="881" spans="1:7" ht="63" outlineLevel="2" x14ac:dyDescent="0.25">
      <c r="A881" s="33" t="s">
        <v>270</v>
      </c>
      <c r="B881" s="19" t="s">
        <v>137</v>
      </c>
      <c r="C881" s="19" t="s">
        <v>271</v>
      </c>
      <c r="D881" s="10"/>
      <c r="E881" s="20">
        <f>E882+E883</f>
        <v>4502.6000000000004</v>
      </c>
      <c r="F881" s="20">
        <f t="shared" ref="F881:G881" si="360">F882+F883</f>
        <v>4436.8</v>
      </c>
      <c r="G881" s="20">
        <f t="shared" si="360"/>
        <v>4423.7</v>
      </c>
    </row>
    <row r="882" spans="1:7" ht="31.5" outlineLevel="2" x14ac:dyDescent="0.25">
      <c r="A882" s="21" t="s">
        <v>76</v>
      </c>
      <c r="B882" s="19" t="s">
        <v>137</v>
      </c>
      <c r="C882" s="19" t="s">
        <v>271</v>
      </c>
      <c r="D882" s="10">
        <v>200</v>
      </c>
      <c r="E882" s="20">
        <v>52</v>
      </c>
      <c r="F882" s="20">
        <v>52</v>
      </c>
      <c r="G882" s="20">
        <v>52</v>
      </c>
    </row>
    <row r="883" spans="1:7" ht="31.5" outlineLevel="2" x14ac:dyDescent="0.25">
      <c r="A883" s="21" t="s">
        <v>20</v>
      </c>
      <c r="B883" s="19" t="s">
        <v>137</v>
      </c>
      <c r="C883" s="19" t="s">
        <v>271</v>
      </c>
      <c r="D883" s="10">
        <v>300</v>
      </c>
      <c r="E883" s="20">
        <v>4450.6000000000004</v>
      </c>
      <c r="F883" s="20">
        <v>4384.8</v>
      </c>
      <c r="G883" s="20">
        <v>4371.7</v>
      </c>
    </row>
    <row r="884" spans="1:7" ht="99.75" customHeight="1" outlineLevel="2" x14ac:dyDescent="0.25">
      <c r="A884" s="33" t="s">
        <v>272</v>
      </c>
      <c r="B884" s="19" t="s">
        <v>137</v>
      </c>
      <c r="C884" s="19" t="s">
        <v>273</v>
      </c>
      <c r="D884" s="10"/>
      <c r="E884" s="20">
        <f>E885+E886</f>
        <v>234.49999999999997</v>
      </c>
      <c r="F884" s="20">
        <f t="shared" ref="F884:G884" si="361">F885+F886</f>
        <v>246.89999999999998</v>
      </c>
      <c r="G884" s="20">
        <f t="shared" si="361"/>
        <v>246.89999999999998</v>
      </c>
    </row>
    <row r="885" spans="1:7" ht="31.5" outlineLevel="2" x14ac:dyDescent="0.25">
      <c r="A885" s="21" t="s">
        <v>76</v>
      </c>
      <c r="B885" s="19" t="s">
        <v>137</v>
      </c>
      <c r="C885" s="19" t="s">
        <v>273</v>
      </c>
      <c r="D885" s="10">
        <v>200</v>
      </c>
      <c r="E885" s="20">
        <v>2.2000000000000002</v>
      </c>
      <c r="F885" s="20">
        <v>2.2000000000000002</v>
      </c>
      <c r="G885" s="20">
        <v>2.2000000000000002</v>
      </c>
    </row>
    <row r="886" spans="1:7" ht="31.5" outlineLevel="2" x14ac:dyDescent="0.25">
      <c r="A886" s="21" t="s">
        <v>20</v>
      </c>
      <c r="B886" s="19" t="s">
        <v>137</v>
      </c>
      <c r="C886" s="19" t="s">
        <v>273</v>
      </c>
      <c r="D886" s="10">
        <v>300</v>
      </c>
      <c r="E886" s="20">
        <v>232.29999999999998</v>
      </c>
      <c r="F886" s="20">
        <v>244.7</v>
      </c>
      <c r="G886" s="20">
        <v>244.7</v>
      </c>
    </row>
    <row r="887" spans="1:7" ht="94.5" outlineLevel="2" x14ac:dyDescent="0.25">
      <c r="A887" s="33" t="s">
        <v>274</v>
      </c>
      <c r="B887" s="19" t="s">
        <v>137</v>
      </c>
      <c r="C887" s="19" t="s">
        <v>275</v>
      </c>
      <c r="D887" s="10"/>
      <c r="E887" s="20">
        <f>E888+E889</f>
        <v>55296.6</v>
      </c>
      <c r="F887" s="20">
        <f t="shared" ref="F887:G887" si="362">F888+F889</f>
        <v>58365</v>
      </c>
      <c r="G887" s="20">
        <f t="shared" si="362"/>
        <v>58365</v>
      </c>
    </row>
    <row r="888" spans="1:7" ht="31.5" outlineLevel="2" x14ac:dyDescent="0.25">
      <c r="A888" s="21" t="s">
        <v>76</v>
      </c>
      <c r="B888" s="19" t="s">
        <v>137</v>
      </c>
      <c r="C888" s="19" t="s">
        <v>275</v>
      </c>
      <c r="D888" s="10">
        <v>200</v>
      </c>
      <c r="E888" s="20">
        <v>500</v>
      </c>
      <c r="F888" s="20">
        <v>500</v>
      </c>
      <c r="G888" s="20">
        <v>500</v>
      </c>
    </row>
    <row r="889" spans="1:7" ht="31.5" outlineLevel="2" x14ac:dyDescent="0.25">
      <c r="A889" s="21" t="s">
        <v>20</v>
      </c>
      <c r="B889" s="19" t="s">
        <v>137</v>
      </c>
      <c r="C889" s="19" t="s">
        <v>275</v>
      </c>
      <c r="D889" s="10">
        <v>300</v>
      </c>
      <c r="E889" s="20">
        <v>54796.6</v>
      </c>
      <c r="F889" s="20">
        <v>57865</v>
      </c>
      <c r="G889" s="20">
        <v>57865</v>
      </c>
    </row>
    <row r="890" spans="1:7" s="65" customFormat="1" ht="16.5" customHeight="1" x14ac:dyDescent="0.25">
      <c r="A890" s="64" t="s">
        <v>185</v>
      </c>
      <c r="B890" s="15" t="s">
        <v>186</v>
      </c>
      <c r="C890" s="15"/>
      <c r="D890" s="16"/>
      <c r="E890" s="53">
        <f t="shared" ref="E890:F890" si="363">E891+E897+E920</f>
        <v>374165.4</v>
      </c>
      <c r="F890" s="53">
        <f t="shared" si="363"/>
        <v>244325</v>
      </c>
      <c r="G890" s="53">
        <f>G891+G897+G920</f>
        <v>257799.7</v>
      </c>
    </row>
    <row r="891" spans="1:7" outlineLevel="1" x14ac:dyDescent="0.25">
      <c r="A891" s="18" t="s">
        <v>187</v>
      </c>
      <c r="B891" s="19" t="s">
        <v>188</v>
      </c>
      <c r="C891" s="19"/>
      <c r="D891" s="10"/>
      <c r="E891" s="20">
        <f>E892</f>
        <v>50868.4</v>
      </c>
      <c r="F891" s="20">
        <f>F892</f>
        <v>48654.5</v>
      </c>
      <c r="G891" s="20">
        <f>G892</f>
        <v>50017.599999999999</v>
      </c>
    </row>
    <row r="892" spans="1:7" ht="37.5" customHeight="1" outlineLevel="2" x14ac:dyDescent="0.25">
      <c r="A892" s="18" t="s">
        <v>189</v>
      </c>
      <c r="B892" s="19" t="s">
        <v>188</v>
      </c>
      <c r="C892" s="19" t="s">
        <v>190</v>
      </c>
      <c r="D892" s="10"/>
      <c r="E892" s="20">
        <f>+E893</f>
        <v>50868.4</v>
      </c>
      <c r="F892" s="20">
        <f t="shared" ref="F892:G892" si="364">+F893</f>
        <v>48654.5</v>
      </c>
      <c r="G892" s="20">
        <f t="shared" si="364"/>
        <v>50017.599999999999</v>
      </c>
    </row>
    <row r="893" spans="1:7" outlineLevel="2" x14ac:dyDescent="0.25">
      <c r="A893" s="18" t="s">
        <v>144</v>
      </c>
      <c r="B893" s="19" t="s">
        <v>188</v>
      </c>
      <c r="C893" s="19" t="s">
        <v>193</v>
      </c>
      <c r="D893" s="10"/>
      <c r="E893" s="20">
        <f t="shared" ref="E893:G895" si="365">E894</f>
        <v>50868.4</v>
      </c>
      <c r="F893" s="20">
        <f t="shared" si="365"/>
        <v>48654.5</v>
      </c>
      <c r="G893" s="20">
        <f t="shared" si="365"/>
        <v>50017.599999999999</v>
      </c>
    </row>
    <row r="894" spans="1:7" ht="87.75" customHeight="1" outlineLevel="2" x14ac:dyDescent="0.25">
      <c r="A894" s="18" t="s">
        <v>194</v>
      </c>
      <c r="B894" s="19" t="s">
        <v>188</v>
      </c>
      <c r="C894" s="19" t="s">
        <v>195</v>
      </c>
      <c r="D894" s="10"/>
      <c r="E894" s="20">
        <f t="shared" si="365"/>
        <v>50868.4</v>
      </c>
      <c r="F894" s="20">
        <f t="shared" si="365"/>
        <v>48654.5</v>
      </c>
      <c r="G894" s="20">
        <f t="shared" si="365"/>
        <v>50017.599999999999</v>
      </c>
    </row>
    <row r="895" spans="1:7" ht="38.25" customHeight="1" outlineLevel="2" x14ac:dyDescent="0.25">
      <c r="A895" s="18" t="s">
        <v>151</v>
      </c>
      <c r="B895" s="19" t="s">
        <v>188</v>
      </c>
      <c r="C895" s="19" t="s">
        <v>196</v>
      </c>
      <c r="D895" s="10"/>
      <c r="E895" s="20">
        <f t="shared" si="365"/>
        <v>50868.4</v>
      </c>
      <c r="F895" s="20">
        <f t="shared" si="365"/>
        <v>48654.5</v>
      </c>
      <c r="G895" s="20">
        <f t="shared" si="365"/>
        <v>50017.599999999999</v>
      </c>
    </row>
    <row r="896" spans="1:7" ht="47.25" outlineLevel="2" x14ac:dyDescent="0.25">
      <c r="A896" s="18" t="s">
        <v>94</v>
      </c>
      <c r="B896" s="19" t="s">
        <v>188</v>
      </c>
      <c r="C896" s="19" t="s">
        <v>196</v>
      </c>
      <c r="D896" s="10">
        <v>600</v>
      </c>
      <c r="E896" s="20">
        <f>50729.9+80.1+58.4</f>
        <v>50868.4</v>
      </c>
      <c r="F896" s="20">
        <v>48654.5</v>
      </c>
      <c r="G896" s="20">
        <v>50017.599999999999</v>
      </c>
    </row>
    <row r="897" spans="1:7" outlineLevel="1" x14ac:dyDescent="0.25">
      <c r="A897" s="18" t="s">
        <v>197</v>
      </c>
      <c r="B897" s="19" t="s">
        <v>198</v>
      </c>
      <c r="C897" s="19"/>
      <c r="D897" s="10"/>
      <c r="E897" s="20">
        <f>E898</f>
        <v>30478.5</v>
      </c>
      <c r="F897" s="20">
        <f>F898</f>
        <v>29055.5</v>
      </c>
      <c r="G897" s="20">
        <f>G898</f>
        <v>34258.400000000001</v>
      </c>
    </row>
    <row r="898" spans="1:7" ht="33.75" customHeight="1" outlineLevel="2" x14ac:dyDescent="0.25">
      <c r="A898" s="18" t="s">
        <v>189</v>
      </c>
      <c r="B898" s="19" t="s">
        <v>198</v>
      </c>
      <c r="C898" s="19" t="s">
        <v>190</v>
      </c>
      <c r="D898" s="10"/>
      <c r="E898" s="20">
        <f>E899+E914</f>
        <v>30478.5</v>
      </c>
      <c r="F898" s="20">
        <f>F899+F914</f>
        <v>29055.5</v>
      </c>
      <c r="G898" s="20">
        <f>G899+G914</f>
        <v>34258.400000000001</v>
      </c>
    </row>
    <row r="899" spans="1:7" ht="21" customHeight="1" outlineLevel="2" x14ac:dyDescent="0.25">
      <c r="A899" s="18" t="s">
        <v>155</v>
      </c>
      <c r="B899" s="19" t="s">
        <v>198</v>
      </c>
      <c r="C899" s="19" t="s">
        <v>191</v>
      </c>
      <c r="D899" s="10"/>
      <c r="E899" s="20">
        <f>E903+E900+E906</f>
        <v>13420.1</v>
      </c>
      <c r="F899" s="20">
        <f t="shared" ref="F899:G899" si="366">F903+F900+F906</f>
        <v>19221.400000000001</v>
      </c>
      <c r="G899" s="20">
        <f t="shared" si="366"/>
        <v>24424.3</v>
      </c>
    </row>
    <row r="900" spans="1:7" ht="63" outlineLevel="2" x14ac:dyDescent="0.25">
      <c r="A900" s="18" t="s">
        <v>501</v>
      </c>
      <c r="B900" s="19" t="s">
        <v>198</v>
      </c>
      <c r="C900" s="19" t="s">
        <v>192</v>
      </c>
      <c r="D900" s="19"/>
      <c r="E900" s="20">
        <f>E901</f>
        <v>471.4</v>
      </c>
      <c r="F900" s="20">
        <f t="shared" ref="F900:G901" si="367">F901</f>
        <v>0</v>
      </c>
      <c r="G900" s="20">
        <f t="shared" si="367"/>
        <v>0</v>
      </c>
    </row>
    <row r="901" spans="1:7" ht="31.5" outlineLevel="2" x14ac:dyDescent="0.25">
      <c r="A901" s="18" t="s">
        <v>483</v>
      </c>
      <c r="B901" s="19" t="s">
        <v>198</v>
      </c>
      <c r="C901" s="19" t="s">
        <v>484</v>
      </c>
      <c r="D901" s="19"/>
      <c r="E901" s="20">
        <f>E902</f>
        <v>471.4</v>
      </c>
      <c r="F901" s="20">
        <f t="shared" si="367"/>
        <v>0</v>
      </c>
      <c r="G901" s="20">
        <f t="shared" si="367"/>
        <v>0</v>
      </c>
    </row>
    <row r="902" spans="1:7" ht="47.25" outlineLevel="2" x14ac:dyDescent="0.25">
      <c r="A902" s="18" t="s">
        <v>94</v>
      </c>
      <c r="B902" s="19" t="s">
        <v>198</v>
      </c>
      <c r="C902" s="19" t="s">
        <v>484</v>
      </c>
      <c r="D902" s="19">
        <v>600</v>
      </c>
      <c r="E902" s="20">
        <v>471.4</v>
      </c>
      <c r="F902" s="20">
        <v>0</v>
      </c>
      <c r="G902" s="20">
        <v>0</v>
      </c>
    </row>
    <row r="903" spans="1:7" ht="47.25" outlineLevel="2" x14ac:dyDescent="0.25">
      <c r="A903" s="18" t="s">
        <v>200</v>
      </c>
      <c r="B903" s="19" t="s">
        <v>198</v>
      </c>
      <c r="C903" s="19" t="s">
        <v>201</v>
      </c>
      <c r="D903" s="10"/>
      <c r="E903" s="20">
        <f t="shared" ref="E903:G904" si="368">E904</f>
        <v>481.5</v>
      </c>
      <c r="F903" s="20">
        <f t="shared" si="368"/>
        <v>1020</v>
      </c>
      <c r="G903" s="20">
        <f t="shared" si="368"/>
        <v>1020</v>
      </c>
    </row>
    <row r="904" spans="1:7" ht="63" outlineLevel="2" x14ac:dyDescent="0.25">
      <c r="A904" s="18" t="s">
        <v>175</v>
      </c>
      <c r="B904" s="19" t="s">
        <v>198</v>
      </c>
      <c r="C904" s="19" t="s">
        <v>486</v>
      </c>
      <c r="D904" s="10"/>
      <c r="E904" s="20">
        <f t="shared" si="368"/>
        <v>481.5</v>
      </c>
      <c r="F904" s="20">
        <f t="shared" si="368"/>
        <v>1020</v>
      </c>
      <c r="G904" s="20">
        <f t="shared" si="368"/>
        <v>1020</v>
      </c>
    </row>
    <row r="905" spans="1:7" ht="47.25" outlineLevel="2" x14ac:dyDescent="0.25">
      <c r="A905" s="18" t="s">
        <v>94</v>
      </c>
      <c r="B905" s="19" t="s">
        <v>198</v>
      </c>
      <c r="C905" s="19" t="s">
        <v>486</v>
      </c>
      <c r="D905" s="10">
        <v>600</v>
      </c>
      <c r="E905" s="20">
        <f>981-499.5</f>
        <v>481.5</v>
      </c>
      <c r="F905" s="20">
        <v>1020</v>
      </c>
      <c r="G905" s="20">
        <v>1020</v>
      </c>
    </row>
    <row r="906" spans="1:7" ht="47.25" outlineLevel="2" x14ac:dyDescent="0.25">
      <c r="A906" s="18" t="s">
        <v>734</v>
      </c>
      <c r="B906" s="19" t="s">
        <v>198</v>
      </c>
      <c r="C906" s="20" t="s">
        <v>733</v>
      </c>
      <c r="D906" s="20"/>
      <c r="E906" s="20">
        <f>+E907+E909+E912</f>
        <v>12467.2</v>
      </c>
      <c r="F906" s="20">
        <f t="shared" ref="F906:G906" si="369">+F907+F909+F912</f>
        <v>18201.400000000001</v>
      </c>
      <c r="G906" s="20">
        <f t="shared" si="369"/>
        <v>23404.3</v>
      </c>
    </row>
    <row r="907" spans="1:7" ht="31.5" outlineLevel="2" x14ac:dyDescent="0.25">
      <c r="A907" s="18" t="s">
        <v>731</v>
      </c>
      <c r="B907" s="19" t="s">
        <v>198</v>
      </c>
      <c r="C907" s="20" t="s">
        <v>732</v>
      </c>
      <c r="D907" s="10"/>
      <c r="E907" s="20">
        <f>E908</f>
        <v>320</v>
      </c>
      <c r="F907" s="20">
        <f t="shared" ref="F907:G907" si="370">F908</f>
        <v>0</v>
      </c>
      <c r="G907" s="20">
        <f t="shared" si="370"/>
        <v>0</v>
      </c>
    </row>
    <row r="908" spans="1:7" ht="31.5" outlineLevel="2" x14ac:dyDescent="0.25">
      <c r="A908" s="18" t="s">
        <v>76</v>
      </c>
      <c r="B908" s="19" t="s">
        <v>198</v>
      </c>
      <c r="C908" s="20" t="s">
        <v>732</v>
      </c>
      <c r="D908" s="10">
        <v>200</v>
      </c>
      <c r="E908" s="20">
        <v>320</v>
      </c>
      <c r="F908" s="20">
        <v>0</v>
      </c>
      <c r="G908" s="20">
        <v>0</v>
      </c>
    </row>
    <row r="909" spans="1:7" ht="31.5" outlineLevel="2" x14ac:dyDescent="0.25">
      <c r="A909" s="18" t="s">
        <v>840</v>
      </c>
      <c r="B909" s="19" t="s">
        <v>198</v>
      </c>
      <c r="C909" s="41" t="s">
        <v>841</v>
      </c>
      <c r="D909" s="41"/>
      <c r="E909" s="20">
        <f>+E910+E911</f>
        <v>12147.2</v>
      </c>
      <c r="F909" s="20">
        <f t="shared" ref="F909:G909" si="371">+F910+F911</f>
        <v>18201.400000000001</v>
      </c>
      <c r="G909" s="20">
        <f t="shared" si="371"/>
        <v>0</v>
      </c>
    </row>
    <row r="910" spans="1:7" ht="31.5" outlineLevel="2" x14ac:dyDescent="0.25">
      <c r="A910" s="18" t="s">
        <v>76</v>
      </c>
      <c r="B910" s="19" t="s">
        <v>198</v>
      </c>
      <c r="C910" s="41" t="s">
        <v>841</v>
      </c>
      <c r="D910" s="41">
        <v>200</v>
      </c>
      <c r="E910" s="20">
        <v>7800.6</v>
      </c>
      <c r="F910" s="20">
        <v>18201.400000000001</v>
      </c>
      <c r="G910" s="20">
        <v>0</v>
      </c>
    </row>
    <row r="911" spans="1:7" ht="47.25" outlineLevel="2" x14ac:dyDescent="0.25">
      <c r="A911" s="18" t="s">
        <v>94</v>
      </c>
      <c r="B911" s="19" t="s">
        <v>198</v>
      </c>
      <c r="C911" s="41" t="s">
        <v>841</v>
      </c>
      <c r="D911" s="19" t="s">
        <v>95</v>
      </c>
      <c r="E911" s="20">
        <v>4346.6000000000004</v>
      </c>
      <c r="F911" s="20">
        <v>0</v>
      </c>
      <c r="G911" s="20">
        <v>0</v>
      </c>
    </row>
    <row r="912" spans="1:7" ht="31.5" outlineLevel="2" x14ac:dyDescent="0.25">
      <c r="A912" s="18" t="s">
        <v>735</v>
      </c>
      <c r="B912" s="19" t="s">
        <v>198</v>
      </c>
      <c r="C912" s="19" t="s">
        <v>736</v>
      </c>
      <c r="D912" s="19"/>
      <c r="E912" s="20">
        <f t="shared" ref="E912:F912" si="372">E913</f>
        <v>0</v>
      </c>
      <c r="F912" s="20">
        <f t="shared" si="372"/>
        <v>0</v>
      </c>
      <c r="G912" s="20">
        <f>G913</f>
        <v>23404.3</v>
      </c>
    </row>
    <row r="913" spans="1:7" ht="47.25" outlineLevel="2" x14ac:dyDescent="0.25">
      <c r="A913" s="18" t="s">
        <v>94</v>
      </c>
      <c r="B913" s="19" t="s">
        <v>198</v>
      </c>
      <c r="C913" s="19" t="s">
        <v>736</v>
      </c>
      <c r="D913" s="19">
        <v>600</v>
      </c>
      <c r="E913" s="20">
        <v>0</v>
      </c>
      <c r="F913" s="20">
        <v>0</v>
      </c>
      <c r="G913" s="20">
        <v>23404.3</v>
      </c>
    </row>
    <row r="914" spans="1:7" outlineLevel="2" x14ac:dyDescent="0.25">
      <c r="A914" s="18" t="s">
        <v>144</v>
      </c>
      <c r="B914" s="19" t="s">
        <v>198</v>
      </c>
      <c r="C914" s="19" t="s">
        <v>193</v>
      </c>
      <c r="D914" s="10"/>
      <c r="E914" s="20">
        <f>E915</f>
        <v>17058.400000000001</v>
      </c>
      <c r="F914" s="20">
        <f>F915</f>
        <v>9834.1</v>
      </c>
      <c r="G914" s="20">
        <f>G915</f>
        <v>9834.1</v>
      </c>
    </row>
    <row r="915" spans="1:7" ht="87" customHeight="1" outlineLevel="2" x14ac:dyDescent="0.25">
      <c r="A915" s="18" t="s">
        <v>194</v>
      </c>
      <c r="B915" s="19" t="s">
        <v>198</v>
      </c>
      <c r="C915" s="19" t="s">
        <v>195</v>
      </c>
      <c r="D915" s="10"/>
      <c r="E915" s="20">
        <f>E916+E918</f>
        <v>17058.400000000001</v>
      </c>
      <c r="F915" s="20">
        <f>F916+F918</f>
        <v>9834.1</v>
      </c>
      <c r="G915" s="20">
        <f>G916+G918</f>
        <v>9834.1</v>
      </c>
    </row>
    <row r="916" spans="1:7" ht="31.5" outlineLevel="2" x14ac:dyDescent="0.25">
      <c r="A916" s="18" t="s">
        <v>202</v>
      </c>
      <c r="B916" s="19" t="s">
        <v>198</v>
      </c>
      <c r="C916" s="19" t="s">
        <v>203</v>
      </c>
      <c r="D916" s="10"/>
      <c r="E916" s="20">
        <f>E917</f>
        <v>11969.6</v>
      </c>
      <c r="F916" s="20">
        <f>F917</f>
        <v>7833.3</v>
      </c>
      <c r="G916" s="20">
        <f>G917</f>
        <v>7833.3</v>
      </c>
    </row>
    <row r="917" spans="1:7" ht="31.5" outlineLevel="2" x14ac:dyDescent="0.25">
      <c r="A917" s="18" t="s">
        <v>76</v>
      </c>
      <c r="B917" s="19" t="s">
        <v>198</v>
      </c>
      <c r="C917" s="19" t="s">
        <v>203</v>
      </c>
      <c r="D917" s="10">
        <v>200</v>
      </c>
      <c r="E917" s="20">
        <f>9895.1+1633.4+441.1</f>
        <v>11969.6</v>
      </c>
      <c r="F917" s="20">
        <v>7833.3</v>
      </c>
      <c r="G917" s="20">
        <v>7833.3</v>
      </c>
    </row>
    <row r="918" spans="1:7" ht="47.25" outlineLevel="2" x14ac:dyDescent="0.25">
      <c r="A918" s="18" t="s">
        <v>204</v>
      </c>
      <c r="B918" s="19" t="s">
        <v>198</v>
      </c>
      <c r="C918" s="19" t="s">
        <v>205</v>
      </c>
      <c r="D918" s="10"/>
      <c r="E918" s="20">
        <f>E919</f>
        <v>5088.8</v>
      </c>
      <c r="F918" s="20">
        <f>F919</f>
        <v>2000.8</v>
      </c>
      <c r="G918" s="20">
        <f>G919</f>
        <v>2000.8</v>
      </c>
    </row>
    <row r="919" spans="1:7" ht="87.75" customHeight="1" outlineLevel="2" x14ac:dyDescent="0.25">
      <c r="A919" s="18" t="s">
        <v>75</v>
      </c>
      <c r="B919" s="19" t="s">
        <v>198</v>
      </c>
      <c r="C919" s="19" t="s">
        <v>205</v>
      </c>
      <c r="D919" s="10">
        <v>100</v>
      </c>
      <c r="E919" s="20">
        <v>5088.8</v>
      </c>
      <c r="F919" s="20">
        <v>2000.8</v>
      </c>
      <c r="G919" s="20">
        <v>2000.8</v>
      </c>
    </row>
    <row r="920" spans="1:7" outlineLevel="1" x14ac:dyDescent="0.25">
      <c r="A920" s="18" t="s">
        <v>206</v>
      </c>
      <c r="B920" s="19" t="s">
        <v>199</v>
      </c>
      <c r="C920" s="19"/>
      <c r="D920" s="10"/>
      <c r="E920" s="20">
        <f>E931+E921</f>
        <v>292818.5</v>
      </c>
      <c r="F920" s="20">
        <f t="shared" ref="F920:G920" si="373">F931+F921</f>
        <v>166615</v>
      </c>
      <c r="G920" s="20">
        <f t="shared" si="373"/>
        <v>173523.7</v>
      </c>
    </row>
    <row r="921" spans="1:7" ht="31.5" outlineLevel="2" x14ac:dyDescent="0.25">
      <c r="A921" s="21" t="s">
        <v>209</v>
      </c>
      <c r="B921" s="19" t="s">
        <v>199</v>
      </c>
      <c r="C921" s="19" t="s">
        <v>210</v>
      </c>
      <c r="D921" s="10"/>
      <c r="E921" s="20">
        <f>E922</f>
        <v>262231.8</v>
      </c>
      <c r="F921" s="20">
        <f t="shared" ref="F921:G921" si="374">F922</f>
        <v>136447.20000000001</v>
      </c>
      <c r="G921" s="20">
        <f t="shared" si="374"/>
        <v>142469.30000000002</v>
      </c>
    </row>
    <row r="922" spans="1:7" outlineLevel="2" x14ac:dyDescent="0.25">
      <c r="A922" s="21" t="s">
        <v>144</v>
      </c>
      <c r="B922" s="19" t="s">
        <v>199</v>
      </c>
      <c r="C922" s="19" t="s">
        <v>216</v>
      </c>
      <c r="D922" s="10"/>
      <c r="E922" s="20">
        <f>E923+E926</f>
        <v>262231.8</v>
      </c>
      <c r="F922" s="20">
        <f t="shared" ref="F922:G922" si="375">F923+F926</f>
        <v>136447.20000000001</v>
      </c>
      <c r="G922" s="20">
        <f t="shared" si="375"/>
        <v>142469.30000000002</v>
      </c>
    </row>
    <row r="923" spans="1:7" ht="48.75" customHeight="1" outlineLevel="2" x14ac:dyDescent="0.25">
      <c r="A923" s="21" t="s">
        <v>485</v>
      </c>
      <c r="B923" s="19" t="s">
        <v>199</v>
      </c>
      <c r="C923" s="19" t="s">
        <v>217</v>
      </c>
      <c r="D923" s="10"/>
      <c r="E923" s="20">
        <f>E924</f>
        <v>262136.6</v>
      </c>
      <c r="F923" s="20">
        <f t="shared" ref="F923:G924" si="376">F924</f>
        <v>136391.1</v>
      </c>
      <c r="G923" s="20">
        <f t="shared" si="376"/>
        <v>142413.20000000001</v>
      </c>
    </row>
    <row r="924" spans="1:7" ht="39.75" customHeight="1" outlineLevel="2" x14ac:dyDescent="0.25">
      <c r="A924" s="9" t="s">
        <v>151</v>
      </c>
      <c r="B924" s="19" t="s">
        <v>199</v>
      </c>
      <c r="C924" s="19" t="s">
        <v>218</v>
      </c>
      <c r="D924" s="10"/>
      <c r="E924" s="20">
        <f>E925</f>
        <v>262136.6</v>
      </c>
      <c r="F924" s="20">
        <f t="shared" si="376"/>
        <v>136391.1</v>
      </c>
      <c r="G924" s="20">
        <f t="shared" si="376"/>
        <v>142413.20000000001</v>
      </c>
    </row>
    <row r="925" spans="1:7" ht="47.25" outlineLevel="2" x14ac:dyDescent="0.25">
      <c r="A925" s="18" t="s">
        <v>94</v>
      </c>
      <c r="B925" s="19" t="s">
        <v>199</v>
      </c>
      <c r="C925" s="19" t="s">
        <v>218</v>
      </c>
      <c r="D925" s="10">
        <v>600</v>
      </c>
      <c r="E925" s="20">
        <f>253422.3+6528.9+673.7+1511.7</f>
        <v>262136.6</v>
      </c>
      <c r="F925" s="20">
        <v>136391.1</v>
      </c>
      <c r="G925" s="20">
        <v>142413.20000000001</v>
      </c>
    </row>
    <row r="926" spans="1:7" ht="63" outlineLevel="2" x14ac:dyDescent="0.25">
      <c r="A926" s="33" t="s">
        <v>489</v>
      </c>
      <c r="B926" s="19" t="s">
        <v>199</v>
      </c>
      <c r="C926" s="19" t="s">
        <v>223</v>
      </c>
      <c r="D926" s="56"/>
      <c r="E926" s="20">
        <f>E929+E927</f>
        <v>95.2</v>
      </c>
      <c r="F926" s="20">
        <f>F929</f>
        <v>56.1</v>
      </c>
      <c r="G926" s="20">
        <f>G929</f>
        <v>56.1</v>
      </c>
    </row>
    <row r="927" spans="1:7" ht="31.5" outlineLevel="2" x14ac:dyDescent="0.25">
      <c r="A927" s="9" t="s">
        <v>250</v>
      </c>
      <c r="B927" s="19" t="s">
        <v>199</v>
      </c>
      <c r="C927" s="31" t="s">
        <v>251</v>
      </c>
      <c r="D927" s="19"/>
      <c r="E927" s="20">
        <f>E928</f>
        <v>39.1</v>
      </c>
      <c r="F927" s="20">
        <f t="shared" ref="F927:G927" si="377">F928</f>
        <v>0</v>
      </c>
      <c r="G927" s="20">
        <f t="shared" si="377"/>
        <v>0</v>
      </c>
    </row>
    <row r="928" spans="1:7" ht="47.25" outlineLevel="2" x14ac:dyDescent="0.25">
      <c r="A928" s="21" t="s">
        <v>94</v>
      </c>
      <c r="B928" s="19" t="s">
        <v>199</v>
      </c>
      <c r="C928" s="31" t="s">
        <v>251</v>
      </c>
      <c r="D928" s="19">
        <v>600</v>
      </c>
      <c r="E928" s="20">
        <v>39.1</v>
      </c>
      <c r="F928" s="20">
        <v>0</v>
      </c>
      <c r="G928" s="20">
        <v>0</v>
      </c>
    </row>
    <row r="929" spans="1:7" ht="47.25" outlineLevel="2" x14ac:dyDescent="0.25">
      <c r="A929" s="55" t="s">
        <v>254</v>
      </c>
      <c r="B929" s="19" t="s">
        <v>199</v>
      </c>
      <c r="C929" s="57" t="s">
        <v>225</v>
      </c>
      <c r="D929" s="56"/>
      <c r="E929" s="20">
        <f>E930</f>
        <v>56.1</v>
      </c>
      <c r="F929" s="20">
        <f t="shared" ref="F929:G929" si="378">F930</f>
        <v>56.1</v>
      </c>
      <c r="G929" s="20">
        <f t="shared" si="378"/>
        <v>56.1</v>
      </c>
    </row>
    <row r="930" spans="1:7" ht="47.25" outlineLevel="2" x14ac:dyDescent="0.25">
      <c r="A930" s="21" t="s">
        <v>94</v>
      </c>
      <c r="B930" s="19" t="s">
        <v>199</v>
      </c>
      <c r="C930" s="57" t="s">
        <v>225</v>
      </c>
      <c r="D930" s="56">
        <v>600</v>
      </c>
      <c r="E930" s="20">
        <v>56.1</v>
      </c>
      <c r="F930" s="20">
        <v>56.1</v>
      </c>
      <c r="G930" s="20">
        <v>56.1</v>
      </c>
    </row>
    <row r="931" spans="1:7" ht="39.75" customHeight="1" outlineLevel="2" x14ac:dyDescent="0.25">
      <c r="A931" s="18" t="s">
        <v>189</v>
      </c>
      <c r="B931" s="19" t="s">
        <v>199</v>
      </c>
      <c r="C931" s="19" t="s">
        <v>190</v>
      </c>
      <c r="D931" s="10"/>
      <c r="E931" s="20">
        <f>E936+E932</f>
        <v>30586.699999999997</v>
      </c>
      <c r="F931" s="20">
        <f>F936</f>
        <v>30167.8</v>
      </c>
      <c r="G931" s="20">
        <f>G936</f>
        <v>31054.400000000001</v>
      </c>
    </row>
    <row r="932" spans="1:7" ht="19.5" customHeight="1" outlineLevel="2" x14ac:dyDescent="0.25">
      <c r="A932" s="18" t="s">
        <v>155</v>
      </c>
      <c r="B932" s="19" t="s">
        <v>199</v>
      </c>
      <c r="C932" s="19" t="s">
        <v>191</v>
      </c>
      <c r="D932" s="19"/>
      <c r="E932" s="20">
        <f>E933</f>
        <v>1015.1</v>
      </c>
      <c r="F932" s="20">
        <f t="shared" ref="F932:G934" si="379">F933</f>
        <v>0</v>
      </c>
      <c r="G932" s="20">
        <f t="shared" si="379"/>
        <v>0</v>
      </c>
    </row>
    <row r="933" spans="1:7" ht="47.25" outlineLevel="2" x14ac:dyDescent="0.25">
      <c r="A933" s="18" t="s">
        <v>541</v>
      </c>
      <c r="B933" s="19" t="s">
        <v>199</v>
      </c>
      <c r="C933" s="19" t="s">
        <v>542</v>
      </c>
      <c r="D933" s="19"/>
      <c r="E933" s="20">
        <f t="shared" ref="E933:E934" si="380">E934</f>
        <v>1015.1</v>
      </c>
      <c r="F933" s="20">
        <f t="shared" si="379"/>
        <v>0</v>
      </c>
      <c r="G933" s="20">
        <f t="shared" si="379"/>
        <v>0</v>
      </c>
    </row>
    <row r="934" spans="1:7" ht="63" outlineLevel="2" x14ac:dyDescent="0.25">
      <c r="A934" s="18" t="s">
        <v>175</v>
      </c>
      <c r="B934" s="19" t="s">
        <v>199</v>
      </c>
      <c r="C934" s="66" t="s">
        <v>543</v>
      </c>
      <c r="D934" s="19"/>
      <c r="E934" s="20">
        <f t="shared" si="380"/>
        <v>1015.1</v>
      </c>
      <c r="F934" s="20">
        <f t="shared" si="379"/>
        <v>0</v>
      </c>
      <c r="G934" s="20">
        <f t="shared" si="379"/>
        <v>0</v>
      </c>
    </row>
    <row r="935" spans="1:7" ht="47.25" outlineLevel="2" x14ac:dyDescent="0.25">
      <c r="A935" s="18" t="s">
        <v>94</v>
      </c>
      <c r="B935" s="19" t="s">
        <v>199</v>
      </c>
      <c r="C935" s="66" t="s">
        <v>543</v>
      </c>
      <c r="D935" s="19" t="s">
        <v>95</v>
      </c>
      <c r="E935" s="20">
        <v>1015.1</v>
      </c>
      <c r="F935" s="20">
        <v>0</v>
      </c>
      <c r="G935" s="20">
        <v>0</v>
      </c>
    </row>
    <row r="936" spans="1:7" outlineLevel="2" x14ac:dyDescent="0.25">
      <c r="A936" s="18" t="s">
        <v>144</v>
      </c>
      <c r="B936" s="19" t="s">
        <v>199</v>
      </c>
      <c r="C936" s="19" t="s">
        <v>193</v>
      </c>
      <c r="D936" s="10"/>
      <c r="E936" s="20">
        <f>E937</f>
        <v>29571.599999999999</v>
      </c>
      <c r="F936" s="20">
        <f t="shared" ref="F936:G936" si="381">F937</f>
        <v>30167.8</v>
      </c>
      <c r="G936" s="20">
        <f t="shared" si="381"/>
        <v>31054.400000000001</v>
      </c>
    </row>
    <row r="937" spans="1:7" ht="85.5" customHeight="1" outlineLevel="2" x14ac:dyDescent="0.25">
      <c r="A937" s="18" t="s">
        <v>194</v>
      </c>
      <c r="B937" s="19" t="s">
        <v>199</v>
      </c>
      <c r="C937" s="19" t="s">
        <v>195</v>
      </c>
      <c r="D937" s="10"/>
      <c r="E937" s="20">
        <f>E938+E940</f>
        <v>29571.599999999999</v>
      </c>
      <c r="F937" s="20">
        <f t="shared" ref="F937:G937" si="382">F938+F940</f>
        <v>30167.8</v>
      </c>
      <c r="G937" s="20">
        <f t="shared" si="382"/>
        <v>31054.400000000001</v>
      </c>
    </row>
    <row r="938" spans="1:7" ht="51" customHeight="1" outlineLevel="2" x14ac:dyDescent="0.25">
      <c r="A938" s="18" t="s">
        <v>207</v>
      </c>
      <c r="B938" s="19" t="s">
        <v>199</v>
      </c>
      <c r="C938" s="19" t="s">
        <v>208</v>
      </c>
      <c r="D938" s="10"/>
      <c r="E938" s="20">
        <f>E939</f>
        <v>950</v>
      </c>
      <c r="F938" s="20">
        <f>F939</f>
        <v>950</v>
      </c>
      <c r="G938" s="20">
        <f>G939</f>
        <v>950</v>
      </c>
    </row>
    <row r="939" spans="1:7" ht="31.5" outlineLevel="2" x14ac:dyDescent="0.25">
      <c r="A939" s="18" t="s">
        <v>20</v>
      </c>
      <c r="B939" s="19" t="s">
        <v>199</v>
      </c>
      <c r="C939" s="19" t="s">
        <v>208</v>
      </c>
      <c r="D939" s="10">
        <v>300</v>
      </c>
      <c r="E939" s="20">
        <v>950</v>
      </c>
      <c r="F939" s="20">
        <v>950</v>
      </c>
      <c r="G939" s="20">
        <v>950</v>
      </c>
    </row>
    <row r="940" spans="1:7" ht="37.5" customHeight="1" outlineLevel="2" x14ac:dyDescent="0.25">
      <c r="A940" s="18" t="s">
        <v>151</v>
      </c>
      <c r="B940" s="19" t="s">
        <v>199</v>
      </c>
      <c r="C940" s="19" t="s">
        <v>196</v>
      </c>
      <c r="D940" s="10"/>
      <c r="E940" s="20">
        <f>E941</f>
        <v>28621.599999999999</v>
      </c>
      <c r="F940" s="20">
        <f>F941</f>
        <v>29217.8</v>
      </c>
      <c r="G940" s="20">
        <f>G941</f>
        <v>30104.400000000001</v>
      </c>
    </row>
    <row r="941" spans="1:7" ht="47.25" outlineLevel="2" x14ac:dyDescent="0.25">
      <c r="A941" s="18" t="s">
        <v>94</v>
      </c>
      <c r="B941" s="19" t="s">
        <v>199</v>
      </c>
      <c r="C941" s="19" t="s">
        <v>196</v>
      </c>
      <c r="D941" s="10">
        <v>600</v>
      </c>
      <c r="E941" s="20">
        <v>28621.599999999999</v>
      </c>
      <c r="F941" s="20">
        <v>29217.8</v>
      </c>
      <c r="G941" s="20">
        <v>30104.400000000001</v>
      </c>
    </row>
    <row r="942" spans="1:7" x14ac:dyDescent="0.25">
      <c r="A942" s="67" t="s">
        <v>467</v>
      </c>
      <c r="B942" s="36" t="s">
        <v>468</v>
      </c>
      <c r="C942" s="36"/>
      <c r="D942" s="47"/>
      <c r="E942" s="17">
        <f>E943</f>
        <v>22330.800000000003</v>
      </c>
      <c r="F942" s="17">
        <f t="shared" ref="F942:G945" si="383">F943</f>
        <v>34815.9</v>
      </c>
      <c r="G942" s="17">
        <f t="shared" si="383"/>
        <v>36037.4</v>
      </c>
    </row>
    <row r="943" spans="1:7" outlineLevel="1" x14ac:dyDescent="0.25">
      <c r="A943" s="34" t="s">
        <v>469</v>
      </c>
      <c r="B943" s="24" t="s">
        <v>470</v>
      </c>
      <c r="C943" s="24"/>
      <c r="D943" s="25"/>
      <c r="E943" s="20">
        <f>E944</f>
        <v>22330.800000000003</v>
      </c>
      <c r="F943" s="20">
        <f t="shared" si="383"/>
        <v>34815.9</v>
      </c>
      <c r="G943" s="20">
        <f t="shared" si="383"/>
        <v>36037.4</v>
      </c>
    </row>
    <row r="944" spans="1:7" outlineLevel="2" x14ac:dyDescent="0.25">
      <c r="A944" s="38" t="s">
        <v>9</v>
      </c>
      <c r="B944" s="24" t="s">
        <v>470</v>
      </c>
      <c r="C944" s="24" t="s">
        <v>10</v>
      </c>
      <c r="D944" s="25"/>
      <c r="E944" s="20">
        <f>E945</f>
        <v>22330.800000000003</v>
      </c>
      <c r="F944" s="20">
        <f t="shared" si="383"/>
        <v>34815.9</v>
      </c>
      <c r="G944" s="20">
        <f t="shared" si="383"/>
        <v>36037.4</v>
      </c>
    </row>
    <row r="945" spans="1:7" ht="33" customHeight="1" outlineLevel="2" x14ac:dyDescent="0.25">
      <c r="A945" s="38" t="s">
        <v>151</v>
      </c>
      <c r="B945" s="24" t="s">
        <v>470</v>
      </c>
      <c r="C945" s="24" t="s">
        <v>45</v>
      </c>
      <c r="D945" s="25"/>
      <c r="E945" s="20">
        <f>E946</f>
        <v>22330.800000000003</v>
      </c>
      <c r="F945" s="20">
        <f t="shared" si="383"/>
        <v>34815.9</v>
      </c>
      <c r="G945" s="20">
        <f t="shared" si="383"/>
        <v>36037.4</v>
      </c>
    </row>
    <row r="946" spans="1:7" ht="47.25" outlineLevel="2" x14ac:dyDescent="0.25">
      <c r="A946" s="38" t="s">
        <v>94</v>
      </c>
      <c r="B946" s="24" t="s">
        <v>470</v>
      </c>
      <c r="C946" s="24" t="s">
        <v>45</v>
      </c>
      <c r="D946" s="25">
        <v>600</v>
      </c>
      <c r="E946" s="20">
        <v>22330.800000000003</v>
      </c>
      <c r="F946" s="20">
        <v>34815.9</v>
      </c>
      <c r="G946" s="20">
        <v>36037.4</v>
      </c>
    </row>
    <row r="947" spans="1:7" ht="31.5" x14ac:dyDescent="0.25">
      <c r="A947" s="64" t="s">
        <v>112</v>
      </c>
      <c r="B947" s="15" t="s">
        <v>113</v>
      </c>
      <c r="C947" s="15"/>
      <c r="D947" s="16"/>
      <c r="E947" s="20">
        <f>E948</f>
        <v>93308.4</v>
      </c>
      <c r="F947" s="53">
        <f t="shared" ref="F947:G950" si="384">F948</f>
        <v>183171</v>
      </c>
      <c r="G947" s="53">
        <f t="shared" si="384"/>
        <v>236273.4</v>
      </c>
    </row>
    <row r="948" spans="1:7" ht="31.5" outlineLevel="1" x14ac:dyDescent="0.25">
      <c r="A948" s="18" t="s">
        <v>114</v>
      </c>
      <c r="B948" s="19" t="s">
        <v>115</v>
      </c>
      <c r="C948" s="19"/>
      <c r="D948" s="10"/>
      <c r="E948" s="20">
        <f>E949</f>
        <v>93308.4</v>
      </c>
      <c r="F948" s="20">
        <f t="shared" si="384"/>
        <v>183171</v>
      </c>
      <c r="G948" s="20">
        <f t="shared" si="384"/>
        <v>236273.4</v>
      </c>
    </row>
    <row r="949" spans="1:7" outlineLevel="2" x14ac:dyDescent="0.25">
      <c r="A949" s="18" t="s">
        <v>9</v>
      </c>
      <c r="B949" s="19" t="s">
        <v>115</v>
      </c>
      <c r="C949" s="19" t="s">
        <v>10</v>
      </c>
      <c r="D949" s="10"/>
      <c r="E949" s="20">
        <f>E950</f>
        <v>93308.4</v>
      </c>
      <c r="F949" s="20">
        <f t="shared" si="384"/>
        <v>183171</v>
      </c>
      <c r="G949" s="20">
        <f t="shared" si="384"/>
        <v>236273.4</v>
      </c>
    </row>
    <row r="950" spans="1:7" ht="21" customHeight="1" outlineLevel="2" x14ac:dyDescent="0.25">
      <c r="A950" s="18" t="s">
        <v>116</v>
      </c>
      <c r="B950" s="19" t="s">
        <v>115</v>
      </c>
      <c r="C950" s="19" t="s">
        <v>117</v>
      </c>
      <c r="D950" s="10"/>
      <c r="E950" s="20">
        <f>E951</f>
        <v>93308.4</v>
      </c>
      <c r="F950" s="20">
        <f t="shared" si="384"/>
        <v>183171</v>
      </c>
      <c r="G950" s="20">
        <f t="shared" si="384"/>
        <v>236273.4</v>
      </c>
    </row>
    <row r="951" spans="1:7" ht="31.5" outlineLevel="2" x14ac:dyDescent="0.25">
      <c r="A951" s="18" t="s">
        <v>118</v>
      </c>
      <c r="B951" s="19" t="s">
        <v>115</v>
      </c>
      <c r="C951" s="19" t="s">
        <v>117</v>
      </c>
      <c r="D951" s="10">
        <v>700</v>
      </c>
      <c r="E951" s="20">
        <f>143371.5-50063.1</f>
        <v>93308.4</v>
      </c>
      <c r="F951" s="20">
        <v>183171</v>
      </c>
      <c r="G951" s="20">
        <v>236273.4</v>
      </c>
    </row>
    <row r="952" spans="1:7" x14ac:dyDescent="0.25">
      <c r="E952" s="20"/>
      <c r="F952" s="20"/>
      <c r="G952" s="20"/>
    </row>
    <row r="953" spans="1:7" x14ac:dyDescent="0.25">
      <c r="A953" s="68" t="s">
        <v>471</v>
      </c>
      <c r="E953" s="17">
        <f>E11+E124+E146+E311+E606+E613+E793+E839+E890+E942+E947</f>
        <v>16745193.600000001</v>
      </c>
      <c r="F953" s="17">
        <f>F11+F124+F146+F311+F606+F613+F793+F839+F890+F942+F947</f>
        <v>16870990.100000001</v>
      </c>
      <c r="G953" s="17">
        <f>G11+G124+G146+G311+G606+G613+G793+G839+G890+G942+G947</f>
        <v>15217698.899999999</v>
      </c>
    </row>
    <row r="954" spans="1:7" x14ac:dyDescent="0.25">
      <c r="G954" s="3"/>
    </row>
    <row r="955" spans="1:7" x14ac:dyDescent="0.25">
      <c r="G955" s="3"/>
    </row>
    <row r="956" spans="1:7" x14ac:dyDescent="0.25">
      <c r="G956" s="3"/>
    </row>
    <row r="957" spans="1:7" x14ac:dyDescent="0.25">
      <c r="G957" s="3"/>
    </row>
    <row r="958" spans="1:7" x14ac:dyDescent="0.25">
      <c r="G958" s="3"/>
    </row>
    <row r="959" spans="1:7" x14ac:dyDescent="0.25">
      <c r="G959" s="3"/>
    </row>
    <row r="960" spans="1:7" x14ac:dyDescent="0.25">
      <c r="G960" s="3"/>
    </row>
    <row r="961" spans="7:7" x14ac:dyDescent="0.25">
      <c r="G961" s="3"/>
    </row>
    <row r="962" spans="7:7" x14ac:dyDescent="0.25">
      <c r="G962" s="3"/>
    </row>
    <row r="963" spans="7:7" x14ac:dyDescent="0.25">
      <c r="G963" s="3"/>
    </row>
    <row r="964" spans="7:7" x14ac:dyDescent="0.25">
      <c r="G964" s="3"/>
    </row>
    <row r="965" spans="7:7" x14ac:dyDescent="0.25">
      <c r="G965" s="3"/>
    </row>
    <row r="966" spans="7:7" x14ac:dyDescent="0.25">
      <c r="G966" s="3"/>
    </row>
    <row r="967" spans="7:7" x14ac:dyDescent="0.25">
      <c r="G967" s="3"/>
    </row>
    <row r="968" spans="7:7" x14ac:dyDescent="0.25">
      <c r="G968" s="3"/>
    </row>
    <row r="969" spans="7:7" x14ac:dyDescent="0.25">
      <c r="G969" s="3"/>
    </row>
  </sheetData>
  <customSheetViews>
    <customSheetView guid="{2A135292-D5EB-4A8D-A93E-D0B24F2543E0}" scale="70" showPageBreaks="1" fitToPage="1">
      <selection activeCell="F3" sqref="F3:G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1"/>
    </customSheetView>
    <customSheetView guid="{AA62EF5A-85DE-4BC8-95D5-4F54CE8CF3D6}" scale="70" showPageBreaks="1" fitToPage="1" showAutoFilter="1" topLeftCell="A346">
      <selection activeCell="E357" sqref="E357:G357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2"/>
      <autoFilter ref="B1:B967" xr:uid="{3F790625-A0A5-4D47-966A-B1D7EE87E8A4}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1CA6CCC9-64EF-4CA9-9C9C-1E572976D134}" scale="70" showPageBreaks="1" fitToPage="1" hiddenRows="1" topLeftCell="A3">
      <selection activeCell="F34" sqref="F3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6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7"/>
    </customSheetView>
  </customSheetViews>
  <mergeCells count="8">
    <mergeCell ref="F1:G1"/>
    <mergeCell ref="A9:A10"/>
    <mergeCell ref="B9:B10"/>
    <mergeCell ref="F9:G9"/>
    <mergeCell ref="F3:G3"/>
    <mergeCell ref="C9:C10"/>
    <mergeCell ref="D9:D10"/>
    <mergeCell ref="A6:G6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3" fitToHeight="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2025-08-31T05:11:10Z</cp:lastPrinted>
  <dcterms:created xsi:type="dcterms:W3CDTF">2021-10-13T06:13:14Z</dcterms:created>
  <dcterms:modified xsi:type="dcterms:W3CDTF">2025-09-25T00:43:22Z</dcterms:modified>
</cp:coreProperties>
</file>